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7665" yWindow="3855" windowWidth="7650" windowHeight="3855" tabRatio="601" activeTab="0"/>
  </bookViews>
  <sheets>
    <sheet name="12_GP_M120 " sheetId="1" r:id="rId1"/>
  </sheets>
  <externalReferences>
    <externalReference r:id="rId4"/>
  </externalReferences>
  <definedNames>
    <definedName name="_xlfn.IFERROR" hidden="1">#NAME?</definedName>
    <definedName name="Ａの値">#REF!</definedName>
    <definedName name="Ｃの値" localSheetId="0">#REF!</definedName>
    <definedName name="Ｃの値">#REF!</definedName>
    <definedName name="Ｇの値">#REF!</definedName>
    <definedName name="L1の値">#REF!</definedName>
    <definedName name="Ｌ２の値">#REF!</definedName>
    <definedName name="Ｌ５の値">#REF!</definedName>
    <definedName name="Ｌの値">#REF!</definedName>
    <definedName name="Ｐ２の値">#REF!</definedName>
    <definedName name="_xlnm.Print_Area" localSheetId="0">'12_GP_M120 '!$A$1:$M$13</definedName>
    <definedName name="Ｐの値">#REF!</definedName>
    <definedName name="Ｒの値">#REF!</definedName>
    <definedName name="ｔ１の値">#REF!</definedName>
    <definedName name="ｔ２の値">#REF!</definedName>
    <definedName name="ｔ３の値">#REF!</definedName>
    <definedName name="Ｔの値">#REF!</definedName>
    <definedName name="Wの値">#REF!</definedName>
    <definedName name="αの値">#REF!</definedName>
    <definedName name="βの値">#REF!</definedName>
    <definedName name="γの値" localSheetId="0">#REF!</definedName>
    <definedName name="γの値">#REF!</definedName>
    <definedName name="θ">#REF!</definedName>
    <definedName name="θの値">#REF!</definedName>
    <definedName name="φ２の値">#REF!</definedName>
    <definedName name="ψ１の値">#REF!</definedName>
    <definedName name="最大開き角度">#REF!</definedName>
  </definedNames>
  <calcPr fullCalcOnLoad="1"/>
</workbook>
</file>

<file path=xl/sharedStrings.xml><?xml version="1.0" encoding="utf-8"?>
<sst xmlns="http://schemas.openxmlformats.org/spreadsheetml/2006/main" count="130" uniqueCount="125">
  <si>
    <t>ψ1の値</t>
  </si>
  <si>
    <t>ψ2の値</t>
  </si>
  <si>
    <t>L1の値</t>
  </si>
  <si>
    <t>L2の値</t>
  </si>
  <si>
    <t>L3の値</t>
  </si>
  <si>
    <t>Rの値</t>
  </si>
  <si>
    <t>Qの値</t>
  </si>
  <si>
    <t>L3垂直時の角度</t>
  </si>
  <si>
    <t>L3の値</t>
  </si>
  <si>
    <t>γ１の値</t>
  </si>
  <si>
    <t>RとL3のなす角</t>
  </si>
  <si>
    <t>γ２の値</t>
  </si>
  <si>
    <t>ｱｰﾑ回転角度限度</t>
  </si>
  <si>
    <t>γ３の値</t>
  </si>
  <si>
    <t>PN回転角度</t>
  </si>
  <si>
    <t>θ3の値</t>
  </si>
  <si>
    <t>① 180゜以上開く場合の確認</t>
  </si>
  <si>
    <t>④それ以外の時</t>
  </si>
  <si>
    <t>よって最大開き角度は</t>
  </si>
  <si>
    <t>ﾘﾝｸの限界長さ</t>
  </si>
  <si>
    <t>機種名</t>
  </si>
  <si>
    <t>ﾘﾝｸ最大開き時のLの値</t>
  </si>
  <si>
    <t>ﾘﾝｸ最大時のθの値</t>
  </si>
  <si>
    <t>ﾘﾝｸの角度</t>
  </si>
  <si>
    <t>Ｌ３の値</t>
  </si>
  <si>
    <t>βの角度</t>
  </si>
  <si>
    <t>度以下、ｱｰﾑがﾄﾞｱに接触、ﾘﾝｸ短い場合「取付不可」</t>
  </si>
  <si>
    <t>Tの値</t>
  </si>
  <si>
    <t>制限角度</t>
  </si>
  <si>
    <t>Ｔの値</t>
  </si>
  <si>
    <t>ψ2の値</t>
  </si>
  <si>
    <t>アーム回転角度</t>
  </si>
  <si>
    <t>ドア厚</t>
  </si>
  <si>
    <t>ｱｰﾑの寸法</t>
  </si>
  <si>
    <t>Ver.1.0</t>
  </si>
  <si>
    <t>P</t>
  </si>
  <si>
    <t>S</t>
  </si>
  <si>
    <t>T</t>
  </si>
  <si>
    <t>Q</t>
  </si>
  <si>
    <t>V</t>
  </si>
  <si>
    <t>U1</t>
  </si>
  <si>
    <t>U2</t>
  </si>
  <si>
    <t>R</t>
  </si>
  <si>
    <t>a</t>
  </si>
  <si>
    <t>b</t>
  </si>
  <si>
    <t>c</t>
  </si>
  <si>
    <t>d</t>
  </si>
  <si>
    <t>e</t>
  </si>
  <si>
    <t>f</t>
  </si>
  <si>
    <t>ｇ</t>
  </si>
  <si>
    <t>左右取付ビス間の寸法</t>
  </si>
  <si>
    <t>吊元中心から取付板ﾋﾞｽまでの寸法</t>
  </si>
  <si>
    <t>吊元中心からﾌﾞﾗｹｯﾄﾋﾞｽまでの寸法</t>
  </si>
  <si>
    <t>左右取付ﾌﾞﾗｹｯﾄﾋﾞｽ間の寸法（外側）</t>
  </si>
  <si>
    <t>左右取付ﾌﾞﾗｹｯﾄﾋﾞｽ間の寸法（内側）</t>
  </si>
  <si>
    <t>下記①～③に従い、入力してください。</t>
  </si>
  <si>
    <t>Ｐ寸法　：吊元中心から本体取付面までの長さ（ｍｍ）</t>
  </si>
  <si>
    <t>Ｔ寸法　：吊元中心から本体ｱｰﾑ取付軸中心までの長さ（ｍｍ）</t>
  </si>
  <si>
    <t>参考(各寸法の説明)</t>
  </si>
  <si>
    <t>③　各種納まり寸法から制限角度を確認したい方は、下の欄に数値を入力してください。</t>
  </si>
  <si>
    <t>　　⇒自動計算により、納まり位置を上部に示します。</t>
  </si>
  <si>
    <t>Ｑ寸法　：アームの長さ(固定)（ｍｍ）</t>
  </si>
  <si>
    <t>Ｕ寸法　：本体取付面からブラケット中心までの長さ（ｍｍ）</t>
  </si>
  <si>
    <t>Ｖ寸法　：取付面から本体軸中心までの長さ(ｍｍ）</t>
  </si>
  <si>
    <t>Ｓ寸法　：本体軸中心からブラケット中心までの長さ（ｍｍ）</t>
  </si>
  <si>
    <t>Ｒ寸法　：リンクの長さ（ｍｍ）</t>
  </si>
  <si>
    <t>ａ寸法　：吊元中心から直近の取付板ビスまでの長さ(ｍｍ）</t>
  </si>
  <si>
    <t>ｂ寸法　：本体取付板取付ビス左右間の長さ（ｍｍ）</t>
  </si>
  <si>
    <t>ｃ寸法　：吊元中心から直近のブラケット取付ビスまでの長さ（ｍｍ）</t>
  </si>
  <si>
    <t>①　機種名を選択してください</t>
  </si>
  <si>
    <t>⇒カタログ値自動入力</t>
  </si>
  <si>
    <t>　　⇒計算がエラー(#N/A)となる場合は制限角度を小さく変更してください　</t>
  </si>
  <si>
    <t>　　⇒※必ず選択してください。選択するとカタログ値が自動入力されます。</t>
  </si>
  <si>
    <t>Ｕ１寸法：ブラケット端面からブラケット軸中心までの長さ(固定)（ｍｍ）</t>
  </si>
  <si>
    <t>Ｕ２寸法：ブラケット端面から本体取付面までの長さ（ｍｍ）</t>
  </si>
  <si>
    <t>ｄ寸法　：ブラケット取付ビスの最長左右間の長さ（ｍｍ）</t>
  </si>
  <si>
    <t>ｅ寸法　：ブラケット取付ビスの最短左右間の長さ（ｍｍ）</t>
  </si>
  <si>
    <t>Pの値</t>
  </si>
  <si>
    <t>Sの値</t>
  </si>
  <si>
    <t>Tの値</t>
  </si>
  <si>
    <t>Uの値</t>
  </si>
  <si>
    <t>U1の値</t>
  </si>
  <si>
    <t>Vの値</t>
  </si>
  <si>
    <t>ｆ寸法　：ブラケット端面から直近のブラケット取付穴までの長さ（ｍｍ）</t>
  </si>
  <si>
    <t>ｇ寸法　：ブラケット取付ビスのちどり間隔（ｍｍ）</t>
  </si>
  <si>
    <t>吊り金具</t>
  </si>
  <si>
    <t>丁番</t>
  </si>
  <si>
    <t>ピボットヒンジ</t>
  </si>
  <si>
    <t>②　制限角度とドア厚を入力、ご使用の吊り金具を選択してください。</t>
  </si>
  <si>
    <t>⇒上図を参照して寸法を入力してください(mm)
(丁番ならばドア厚+17㎜、それ以外は+25㎜を入力済)</t>
  </si>
  <si>
    <t>ﾘﾝｸ垂直の場合下記の値を代入する。それ以外はｶﾀﾛｸﾞ寸法</t>
  </si>
  <si>
    <t>セミエアタイト</t>
  </si>
  <si>
    <t>パーフェクトエアタイト</t>
  </si>
  <si>
    <t>⇒②の制限角度を入力されている場合、”Ｔの値”を自動入力</t>
  </si>
  <si>
    <t>⇒カタログ値自動入力　背板等がある場合、厚みをプラス</t>
  </si>
  <si>
    <t>U２の値</t>
  </si>
  <si>
    <t>⇒ｱｰﾑの回転角度が180°以上の場合、「ﾘﾝｸまたはｱｰﾑが扉に接触します」を表示</t>
  </si>
  <si>
    <t>⇒カタログ値自動入力</t>
  </si>
  <si>
    <t>180°以下の場合アームリンクが一直線の場合の角度を示している</t>
  </si>
  <si>
    <t>180°以下の場合、アームリンク一直線の時の角度を示す。</t>
  </si>
  <si>
    <t>　　⇒自動計算により、最適な納まり位置を上部に示します。</t>
  </si>
  <si>
    <t>　　⇒初期はカタログ値が入力されています。変更する場合は上書き入力してください。</t>
  </si>
  <si>
    <t>aの値（mm）</t>
  </si>
  <si>
    <t>ｂの値（mm）</t>
  </si>
  <si>
    <t>ｃの値（mm）</t>
  </si>
  <si>
    <t>ｄの値（mm）</t>
  </si>
  <si>
    <t>No.12　リョービドアクローザジオプロシリーズ（パラレルタイプ）120°（持出吊り）</t>
  </si>
  <si>
    <t>GD-4PV　120</t>
  </si>
  <si>
    <t>eの値（mm）</t>
  </si>
  <si>
    <t>ｆの値（mm）</t>
  </si>
  <si>
    <t>ｇの値（mm）</t>
  </si>
  <si>
    <t>GD-4PV　120</t>
  </si>
  <si>
    <t>①</t>
  </si>
  <si>
    <t>②</t>
  </si>
  <si>
    <t>③</t>
  </si>
  <si>
    <r>
      <t xml:space="preserve">U
</t>
    </r>
    <r>
      <rPr>
        <b/>
        <sz val="8"/>
        <rFont val="HG丸ｺﾞｼｯｸM-PRO"/>
        <family val="3"/>
      </rPr>
      <t>U1+U2</t>
    </r>
  </si>
  <si>
    <t>ドア厚(mm)</t>
  </si>
  <si>
    <t>U２の値(mm)</t>
  </si>
  <si>
    <t>Rの値ﾘﾝｸ平行(mm)</t>
  </si>
  <si>
    <t>U2：本体取付面からブラケット端面までの長さ</t>
  </si>
  <si>
    <t>持出寸法(mm)</t>
  </si>
  <si>
    <t>実用開き角度(°)</t>
  </si>
  <si>
    <t>実用開き角度(°)</t>
  </si>
  <si>
    <t>⇒初期ねじりが</t>
  </si>
  <si>
    <t>④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</si>
</sst>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[&lt;=999]000;000\-00"/>
    <numFmt numFmtId="180" formatCode="0_ "/>
    <numFmt numFmtId="181" formatCode="0.0_ "/>
    <numFmt numFmtId="182" formatCode="0;[Red]0"/>
    <numFmt numFmtId="183" formatCode="0_);[Red]\(0\)"/>
    <numFmt numFmtId="184" formatCode="0.0_);[Red]\(0.0\)"/>
    <numFmt numFmtId="185" formatCode="0.00_);[Red]\(0.00\)"/>
    <numFmt numFmtId="186" formatCode="0.0000000"/>
    <numFmt numFmtId="187" formatCode="0.000000"/>
    <numFmt numFmtId="188" formatCode="0.00000"/>
    <numFmt numFmtId="189" formatCode="0.000000000"/>
    <numFmt numFmtId="190" formatCode="0.00000000"/>
    <numFmt numFmtId="191" formatCode="0.000_);[Red]\(0.000\)"/>
    <numFmt numFmtId="192" formatCode="0.0000_);[Red]\(0.0000\)"/>
    <numFmt numFmtId="193" formatCode="0.00000_);[Red]\(0.00000\)"/>
    <numFmt numFmtId="194" formatCode="#,##0.0;[Red]\-#,##0.0"/>
    <numFmt numFmtId="195" formatCode="0.0000000000000_);[Red]\(0.0000000000000\)"/>
    <numFmt numFmtId="196" formatCode="0.000000000000_);[Red]\(0.000000000000\)"/>
    <numFmt numFmtId="197" formatCode="0.00000000000_);[Red]\(0.00000000000\)"/>
    <numFmt numFmtId="198" formatCode="0.0000000000_);[Red]\(0.0000000000\)"/>
    <numFmt numFmtId="199" formatCode="0.000000000_);[Red]\(0.000000000\)"/>
    <numFmt numFmtId="200" formatCode="0.00000000_);[Red]\(0.00000000\)"/>
    <numFmt numFmtId="201" formatCode="0.0000000_);[Red]\(0.0000000\)"/>
    <numFmt numFmtId="202" formatCode="0.000000_);[Red]\(0.000000\)"/>
    <numFmt numFmtId="203" formatCode="0.00000000000000_);[Red]\(0.00000000000000\)"/>
    <numFmt numFmtId="204" formatCode="0.000000000000000_);[Red]\(0.000000000000000\)"/>
    <numFmt numFmtId="205" formatCode="0.0000000000000000_);[Red]\(0.0000000000000000\)"/>
    <numFmt numFmtId="206" formatCode="0.0000000000"/>
    <numFmt numFmtId="207" formatCode="0.00000000000000000_);[Red]\(0.00000000000000000\)"/>
    <numFmt numFmtId="208" formatCode="0.0000000_ "/>
    <numFmt numFmtId="209" formatCode="0.000000_ "/>
    <numFmt numFmtId="210" formatCode="0.00000_ "/>
    <numFmt numFmtId="211" formatCode="0.0000_ "/>
    <numFmt numFmtId="212" formatCode="0.000_ "/>
    <numFmt numFmtId="213" formatCode="0.00_ "/>
    <numFmt numFmtId="214" formatCode="0.00000000_ "/>
    <numFmt numFmtId="215" formatCode="0.000000000_ "/>
    <numFmt numFmtId="216" formatCode="0.0000000000_ "/>
    <numFmt numFmtId="217" formatCode="0.00000000000_ "/>
    <numFmt numFmtId="218" formatCode="0.000000000000_ "/>
    <numFmt numFmtId="219" formatCode="0.0000000000000_ "/>
    <numFmt numFmtId="220" formatCode="0.00000000000000_ "/>
    <numFmt numFmtId="221" formatCode="mmm\-yyyy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[$€-2]\ #,##0.00_);[Red]\([$€-2]\ #,##0.00\)"/>
    <numFmt numFmtId="226" formatCode="[$]ggge&quot;年&quot;m&quot;月&quot;d&quot;日&quot;;@"/>
    <numFmt numFmtId="227" formatCode="[$-411]gge&quot;年&quot;m&quot;月&quot;d&quot;日&quot;;@"/>
    <numFmt numFmtId="228" formatCode="[$]gge&quot;年&quot;m&quot;月&quot;d&quot;日&quot;;@"/>
  </numFmts>
  <fonts count="6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6"/>
      <name val="明朝"/>
      <family val="1"/>
    </font>
    <font>
      <sz val="11"/>
      <name val="HG丸ｺﾞｼｯｸM-PRO"/>
      <family val="3"/>
    </font>
    <font>
      <sz val="14"/>
      <name val="HG丸ｺﾞｼｯｸM-PRO"/>
      <family val="3"/>
    </font>
    <font>
      <sz val="11"/>
      <name val="HGSｺﾞｼｯｸE"/>
      <family val="3"/>
    </font>
    <font>
      <sz val="12"/>
      <name val="HG丸ｺﾞｼｯｸM-PRO"/>
      <family val="3"/>
    </font>
    <font>
      <b/>
      <sz val="8"/>
      <name val="HG丸ｺﾞｼｯｸM-PRO"/>
      <family val="3"/>
    </font>
    <font>
      <b/>
      <sz val="11"/>
      <name val="HG丸ｺﾞｼｯｸM-PRO"/>
      <family val="3"/>
    </font>
    <font>
      <b/>
      <sz val="12"/>
      <name val="HG丸ｺﾞｼｯｸM-PRO"/>
      <family val="3"/>
    </font>
    <font>
      <sz val="16"/>
      <name val="HG丸ｺﾞｼｯｸM-PRO"/>
      <family val="3"/>
    </font>
    <font>
      <b/>
      <sz val="8"/>
      <name val="ＭＳ Ｐゴシック"/>
      <family val="3"/>
    </font>
    <font>
      <b/>
      <sz val="11"/>
      <name val="ＭＳ Ｐゴシック"/>
      <family val="3"/>
    </font>
    <font>
      <b/>
      <u val="single"/>
      <sz val="14"/>
      <name val="HG丸ｺﾞｼｯｸM-PRO"/>
      <family val="3"/>
    </font>
    <font>
      <b/>
      <sz val="14"/>
      <name val="HG丸ｺﾞｼｯｸM-PRO"/>
      <family val="3"/>
    </font>
    <font>
      <sz val="10"/>
      <name val="HG丸ｺﾞｼｯｸM-PRO"/>
      <family val="3"/>
    </font>
    <font>
      <b/>
      <sz val="9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明朝"/>
      <family val="1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sz val="14"/>
      <color indexed="8"/>
      <name val="HG丸ｺﾞｼｯｸM-PRO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明朝"/>
      <family val="1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sz val="14"/>
      <color theme="1"/>
      <name val="HG丸ｺﾞｼｯｸM-PRO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vertical="top"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28" borderId="12" xfId="0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>
      <alignment/>
    </xf>
    <xf numFmtId="0" fontId="11" fillId="0" borderId="0" xfId="0" applyNumberFormat="1" applyFont="1" applyFill="1" applyBorder="1" applyAlignment="1">
      <alignment/>
    </xf>
    <xf numFmtId="0" fontId="9" fillId="0" borderId="0" xfId="0" applyFont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14" fillId="0" borderId="11" xfId="0" applyFont="1" applyFill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15" fillId="0" borderId="11" xfId="0" applyFont="1" applyFill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38" fontId="7" fillId="35" borderId="12" xfId="49" applyNumberFormat="1" applyFont="1" applyFill="1" applyBorder="1" applyAlignment="1" applyProtection="1">
      <alignment horizontal="right" vertical="center"/>
      <protection hidden="1"/>
    </xf>
    <xf numFmtId="0" fontId="11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176" fontId="11" fillId="0" borderId="0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>
      <alignment vertical="center"/>
    </xf>
    <xf numFmtId="0" fontId="7" fillId="28" borderId="12" xfId="0" applyFont="1" applyFill="1" applyBorder="1" applyAlignment="1" applyProtection="1">
      <alignment vertical="center"/>
      <protection locked="0"/>
    </xf>
    <xf numFmtId="176" fontId="16" fillId="0" borderId="0" xfId="0" applyNumberFormat="1" applyFont="1" applyAlignment="1">
      <alignment/>
    </xf>
    <xf numFmtId="0" fontId="12" fillId="0" borderId="0" xfId="0" applyFont="1" applyAlignment="1">
      <alignment horizontal="left"/>
    </xf>
    <xf numFmtId="181" fontId="6" fillId="0" borderId="0" xfId="0" applyNumberFormat="1" applyFont="1" applyAlignment="1">
      <alignment/>
    </xf>
    <xf numFmtId="181" fontId="6" fillId="0" borderId="0" xfId="0" applyNumberFormat="1" applyFont="1" applyAlignment="1">
      <alignment horizontal="center"/>
    </xf>
    <xf numFmtId="1" fontId="7" fillId="35" borderId="12" xfId="0" applyNumberFormat="1" applyFont="1" applyFill="1" applyBorder="1" applyAlignment="1" applyProtection="1">
      <alignment horizontal="right" vertical="center"/>
      <protection hidden="1"/>
    </xf>
    <xf numFmtId="0" fontId="12" fillId="0" borderId="0" xfId="0" applyFont="1" applyAlignment="1">
      <alignment horizontal="right"/>
    </xf>
    <xf numFmtId="2" fontId="6" fillId="0" borderId="0" xfId="0" applyNumberFormat="1" applyFont="1" applyAlignment="1">
      <alignment/>
    </xf>
    <xf numFmtId="0" fontId="7" fillId="28" borderId="12" xfId="0" applyFont="1" applyFill="1" applyBorder="1" applyAlignment="1" applyProtection="1">
      <alignment horizontal="right" vertical="center"/>
      <protection locked="0"/>
    </xf>
    <xf numFmtId="0" fontId="12" fillId="0" borderId="0" xfId="0" applyFont="1" applyAlignment="1">
      <alignment/>
    </xf>
    <xf numFmtId="0" fontId="11" fillId="0" borderId="0" xfId="0" applyFont="1" applyAlignment="1">
      <alignment horizontal="left"/>
    </xf>
    <xf numFmtId="0" fontId="6" fillId="0" borderId="0" xfId="0" applyFont="1" applyAlignment="1" applyProtection="1">
      <alignment/>
      <protection hidden="1"/>
    </xf>
    <xf numFmtId="176" fontId="6" fillId="0" borderId="0" xfId="0" applyNumberFormat="1" applyFont="1" applyAlignment="1" applyProtection="1">
      <alignment/>
      <protection hidden="1"/>
    </xf>
    <xf numFmtId="176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76" fontId="6" fillId="0" borderId="0" xfId="0" applyNumberFormat="1" applyFont="1" applyFill="1" applyAlignment="1" applyProtection="1">
      <alignment/>
      <protection hidden="1"/>
    </xf>
    <xf numFmtId="184" fontId="6" fillId="0" borderId="0" xfId="0" applyNumberFormat="1" applyFont="1" applyAlignment="1">
      <alignment/>
    </xf>
    <xf numFmtId="0" fontId="13" fillId="0" borderId="0" xfId="0" applyFont="1" applyAlignment="1">
      <alignment horizontal="left" vertical="center" readingOrder="1"/>
    </xf>
    <xf numFmtId="0" fontId="6" fillId="0" borderId="0" xfId="0" applyFont="1" applyFill="1" applyAlignment="1" applyProtection="1">
      <alignment/>
      <protection hidden="1"/>
    </xf>
    <xf numFmtId="0" fontId="11" fillId="0" borderId="0" xfId="0" applyFont="1" applyFill="1" applyBorder="1" applyAlignment="1" applyProtection="1">
      <alignment horizontal="center" vertical="center"/>
      <protection/>
    </xf>
    <xf numFmtId="49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9" fillId="0" borderId="0" xfId="0" applyFont="1" applyAlignment="1" quotePrefix="1">
      <alignment horizontal="left"/>
    </xf>
    <xf numFmtId="0" fontId="7" fillId="0" borderId="0" xfId="0" applyFont="1" applyAlignment="1">
      <alignment horizontal="left" vertical="center" readingOrder="1"/>
    </xf>
    <xf numFmtId="0" fontId="7" fillId="0" borderId="0" xfId="0" applyFont="1" applyFill="1" applyAlignment="1" applyProtection="1">
      <alignment/>
      <protection hidden="1"/>
    </xf>
    <xf numFmtId="0" fontId="17" fillId="0" borderId="0" xfId="0" applyFont="1" applyFill="1" applyBorder="1" applyAlignment="1" applyProtection="1">
      <alignment horizontal="center" vertical="center"/>
      <protection/>
    </xf>
    <xf numFmtId="49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/>
    </xf>
    <xf numFmtId="0" fontId="7" fillId="0" borderId="0" xfId="0" applyFont="1" applyFill="1" applyAlignment="1">
      <alignment vertical="center"/>
    </xf>
    <xf numFmtId="0" fontId="9" fillId="0" borderId="0" xfId="0" applyFont="1" applyAlignment="1" quotePrefix="1">
      <alignment shrinkToFit="1"/>
    </xf>
    <xf numFmtId="0" fontId="9" fillId="0" borderId="0" xfId="0" applyFont="1" applyAlignment="1" quotePrefix="1">
      <alignment horizontal="left" shrinkToFit="1"/>
    </xf>
    <xf numFmtId="0" fontId="6" fillId="0" borderId="0" xfId="0" applyFont="1" applyAlignment="1" quotePrefix="1">
      <alignment horizontal="left" vertical="top"/>
    </xf>
    <xf numFmtId="0" fontId="9" fillId="0" borderId="0" xfId="0" applyFont="1" applyAlignment="1" quotePrefix="1">
      <alignment horizontal="left" vertical="center"/>
    </xf>
    <xf numFmtId="0" fontId="18" fillId="0" borderId="0" xfId="0" applyFont="1" applyAlignment="1" quotePrefix="1">
      <alignment horizontal="center" vertical="center"/>
    </xf>
    <xf numFmtId="0" fontId="9" fillId="0" borderId="0" xfId="0" applyFont="1" applyAlignment="1">
      <alignment horizontal="right"/>
    </xf>
    <xf numFmtId="0" fontId="7" fillId="28" borderId="12" xfId="0" applyFont="1" applyFill="1" applyBorder="1" applyAlignment="1">
      <alignment horizontal="right" vertical="center"/>
    </xf>
    <xf numFmtId="0" fontId="7" fillId="0" borderId="0" xfId="0" applyFont="1" applyAlignment="1" quotePrefix="1">
      <alignment horizontal="left" vertical="center"/>
    </xf>
    <xf numFmtId="0" fontId="7" fillId="28" borderId="12" xfId="0" applyFont="1" applyFill="1" applyBorder="1" applyAlignment="1" applyProtection="1">
      <alignment vertical="center"/>
      <protection hidden="1"/>
    </xf>
    <xf numFmtId="0" fontId="7" fillId="28" borderId="12" xfId="0" applyFont="1" applyFill="1" applyBorder="1" applyAlignment="1">
      <alignment vertical="center"/>
    </xf>
    <xf numFmtId="1" fontId="7" fillId="28" borderId="12" xfId="0" applyNumberFormat="1" applyFont="1" applyFill="1" applyBorder="1" applyAlignment="1" applyProtection="1">
      <alignment horizontal="right" vertical="center"/>
      <protection hidden="1"/>
    </xf>
    <xf numFmtId="181" fontId="7" fillId="34" borderId="12" xfId="0" applyNumberFormat="1" applyFont="1" applyFill="1" applyBorder="1" applyAlignment="1" applyProtection="1">
      <alignment vertical="center"/>
      <protection hidden="1"/>
    </xf>
    <xf numFmtId="0" fontId="7" fillId="0" borderId="0" xfId="0" applyFont="1" applyAlignment="1">
      <alignment vertical="center" wrapText="1"/>
    </xf>
    <xf numFmtId="0" fontId="7" fillId="36" borderId="12" xfId="0" applyFont="1" applyFill="1" applyBorder="1" applyAlignment="1" applyProtection="1">
      <alignment horizontal="right" vertical="center"/>
      <protection hidden="1"/>
    </xf>
    <xf numFmtId="0" fontId="7" fillId="0" borderId="0" xfId="0" applyFont="1" applyAlignment="1">
      <alignment vertical="center"/>
    </xf>
    <xf numFmtId="0" fontId="7" fillId="35" borderId="13" xfId="0" applyFont="1" applyFill="1" applyBorder="1" applyAlignment="1" applyProtection="1">
      <alignment horizontal="right" vertical="center"/>
      <protection hidden="1"/>
    </xf>
    <xf numFmtId="0" fontId="19" fillId="0" borderId="0" xfId="0" applyFont="1" applyAlignment="1">
      <alignment/>
    </xf>
    <xf numFmtId="0" fontId="15" fillId="37" borderId="11" xfId="0" applyFont="1" applyFill="1" applyBorder="1" applyAlignment="1">
      <alignment vertical="center"/>
    </xf>
    <xf numFmtId="0" fontId="7" fillId="37" borderId="12" xfId="0" applyFont="1" applyFill="1" applyBorder="1" applyAlignment="1" applyProtection="1">
      <alignment horizontal="right" vertical="center"/>
      <protection hidden="1"/>
    </xf>
    <xf numFmtId="0" fontId="60" fillId="0" borderId="0" xfId="0" applyFont="1" applyAlignment="1">
      <alignment vertical="top"/>
    </xf>
    <xf numFmtId="0" fontId="7" fillId="0" borderId="0" xfId="0" applyFont="1" applyBorder="1" applyAlignment="1">
      <alignment horizontal="right" vertical="center" wrapText="1"/>
    </xf>
    <xf numFmtId="0" fontId="7" fillId="38" borderId="14" xfId="0" applyFont="1" applyFill="1" applyBorder="1" applyAlignment="1" applyProtection="1">
      <alignment horizontal="center" vertical="center"/>
      <protection/>
    </xf>
    <xf numFmtId="0" fontId="7" fillId="38" borderId="15" xfId="0" applyFont="1" applyFill="1" applyBorder="1" applyAlignment="1" applyProtection="1">
      <alignment horizontal="center" vertical="center"/>
      <protection/>
    </xf>
    <xf numFmtId="0" fontId="7" fillId="0" borderId="16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38" borderId="0" xfId="0" applyFont="1" applyFill="1" applyBorder="1" applyAlignment="1">
      <alignment horizontal="center" vertical="center"/>
    </xf>
    <xf numFmtId="0" fontId="7" fillId="38" borderId="17" xfId="0" applyFont="1" applyFill="1" applyBorder="1" applyAlignment="1">
      <alignment horizontal="center" vertical="center"/>
    </xf>
    <xf numFmtId="0" fontId="61" fillId="38" borderId="14" xfId="0" applyFont="1" applyFill="1" applyBorder="1" applyAlignment="1" applyProtection="1">
      <alignment horizontal="center" vertical="center"/>
      <protection/>
    </xf>
    <xf numFmtId="0" fontId="61" fillId="38" borderId="15" xfId="0" applyFont="1" applyFill="1" applyBorder="1" applyAlignment="1" applyProtection="1">
      <alignment horizontal="center" vertical="center"/>
      <protection/>
    </xf>
    <xf numFmtId="0" fontId="7" fillId="0" borderId="18" xfId="0" applyFont="1" applyBorder="1" applyAlignment="1">
      <alignment horizontal="center"/>
    </xf>
    <xf numFmtId="176" fontId="7" fillId="0" borderId="18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16" xfId="0" applyFont="1" applyBorder="1" applyAlignment="1" quotePrefix="1">
      <alignment horizontal="left" vertical="center" wrapText="1"/>
    </xf>
    <xf numFmtId="176" fontId="7" fillId="35" borderId="14" xfId="0" applyNumberFormat="1" applyFont="1" applyFill="1" applyBorder="1" applyAlignment="1" applyProtection="1">
      <alignment horizontal="center" vertical="center" shrinkToFit="1"/>
      <protection/>
    </xf>
    <xf numFmtId="0" fontId="7" fillId="35" borderId="18" xfId="0" applyFont="1" applyFill="1" applyBorder="1" applyAlignment="1" applyProtection="1">
      <alignment horizontal="center" vertical="center" shrinkToFit="1"/>
      <protection/>
    </xf>
    <xf numFmtId="0" fontId="7" fillId="35" borderId="15" xfId="0" applyFont="1" applyFill="1" applyBorder="1" applyAlignment="1" applyProtection="1">
      <alignment horizontal="center" vertical="center" shrinkToFit="1"/>
      <protection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1" fontId="7" fillId="0" borderId="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Alignment="1" quotePrefix="1">
      <alignment horizontal="left"/>
    </xf>
    <xf numFmtId="0" fontId="9" fillId="0" borderId="0" xfId="0" applyFont="1" applyAlignment="1" quotePrefix="1">
      <alignment horizontal="left" shrinkToFit="1"/>
    </xf>
    <xf numFmtId="0" fontId="7" fillId="0" borderId="0" xfId="0" applyFont="1" applyAlignment="1">
      <alignment horizontal="left" vertical="center" wrapText="1" readingOrder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1</xdr:row>
      <xdr:rowOff>180975</xdr:rowOff>
    </xdr:from>
    <xdr:to>
      <xdr:col>12</xdr:col>
      <xdr:colOff>3086100</xdr:colOff>
      <xdr:row>12</xdr:row>
      <xdr:rowOff>123825</xdr:rowOff>
    </xdr:to>
    <xdr:grpSp>
      <xdr:nvGrpSpPr>
        <xdr:cNvPr id="1" name="グループ化 24"/>
        <xdr:cNvGrpSpPr>
          <a:grpSpLocks/>
        </xdr:cNvGrpSpPr>
      </xdr:nvGrpSpPr>
      <xdr:grpSpPr>
        <a:xfrm>
          <a:off x="4933950" y="1447800"/>
          <a:ext cx="12820650" cy="4133850"/>
          <a:chOff x="3971925" y="1442359"/>
          <a:chExt cx="10281386" cy="4136570"/>
        </a:xfrm>
        <a:solidFill>
          <a:srgbClr val="FFFFFF"/>
        </a:solidFill>
      </xdr:grpSpPr>
      <xdr:pic>
        <xdr:nvPicPr>
          <xdr:cNvPr id="2" name="図 22"/>
          <xdr:cNvPicPr preferRelativeResize="1">
            <a:picLocks noChangeAspect="1"/>
          </xdr:cNvPicPr>
        </xdr:nvPicPr>
        <xdr:blipFill>
          <a:blip r:embed="rId1"/>
          <a:srcRect l="5276" t="21838" r="4356" b="23469"/>
          <a:stretch>
            <a:fillRect/>
          </a:stretch>
        </xdr:blipFill>
        <xdr:spPr>
          <a:xfrm>
            <a:off x="4488565" y="1442359"/>
            <a:ext cx="9764746" cy="4136570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" name="グループ化 20"/>
          <xdr:cNvGrpSpPr>
            <a:grpSpLocks/>
          </xdr:cNvGrpSpPr>
        </xdr:nvGrpSpPr>
        <xdr:grpSpPr>
          <a:xfrm>
            <a:off x="3971925" y="1636778"/>
            <a:ext cx="9975515" cy="3685684"/>
            <a:chOff x="3971925" y="1639253"/>
            <a:chExt cx="9972432" cy="3679846"/>
          </a:xfrm>
          <a:solidFill>
            <a:srgbClr val="FFFFFF"/>
          </a:solidFill>
        </xdr:grpSpPr>
        <xdr:sp textlink="D7">
          <xdr:nvSpPr>
            <xdr:cNvPr id="4" name="四角形: 角を丸くする 2"/>
            <xdr:cNvSpPr>
              <a:spLocks noChangeAspect="1"/>
            </xdr:cNvSpPr>
          </xdr:nvSpPr>
          <xdr:spPr>
            <a:xfrm>
              <a:off x="5801866" y="3652129"/>
              <a:ext cx="466211" cy="266789"/>
            </a:xfrm>
            <a:prstGeom prst="roundRect">
              <a:avLst/>
            </a:prstGeom>
            <a:solidFill>
              <a:srgbClr val="FFFF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18288" tIns="0" rIns="0" bIns="0" anchor="ctr"/>
            <a:p>
              <a:pPr algn="r">
                <a:defRPr/>
              </a:pPr>
              <a:r>
                <a:rPr lang="en-US" cap="none" sz="1400" b="0" i="0" u="none" baseline="0">
                  <a:solidFill>
                    <a:srgbClr val="000000"/>
                  </a:solidFill>
                </a:rPr>
                <a:t>4</a:t>
              </a:r>
            </a:p>
          </xdr:txBody>
        </xdr:sp>
        <xdr:sp textlink="H61">
          <xdr:nvSpPr>
            <xdr:cNvPr id="5" name="四角形: 角を丸くする 3"/>
            <xdr:cNvSpPr>
              <a:spLocks noChangeAspect="1"/>
            </xdr:cNvSpPr>
          </xdr:nvSpPr>
          <xdr:spPr>
            <a:xfrm>
              <a:off x="5106289" y="4299782"/>
              <a:ext cx="628263" cy="256669"/>
            </a:xfrm>
            <a:prstGeom prst="roundRect">
              <a:avLst/>
            </a:prstGeom>
            <a:solidFill>
              <a:srgbClr val="FFCC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18288" tIns="0" rIns="0" bIns="0" anchor="ctr"/>
            <a:p>
              <a:pPr algn="r">
                <a:defRPr/>
              </a:pPr>
              <a:r>
                <a:rPr lang="en-US" cap="none" sz="1400" b="0" i="0" u="none" baseline="0">
                  <a:solidFill>
                    <a:srgbClr val="000000"/>
                  </a:solidFill>
                </a:rPr>
                <a:t>62</a:t>
              </a:r>
            </a:p>
          </xdr:txBody>
        </xdr:sp>
        <xdr:sp textlink="H64">
          <xdr:nvSpPr>
            <xdr:cNvPr id="6" name="四角形: 角を丸くする 4"/>
            <xdr:cNvSpPr>
              <a:spLocks noChangeAspect="1"/>
            </xdr:cNvSpPr>
          </xdr:nvSpPr>
          <xdr:spPr>
            <a:xfrm>
              <a:off x="6679440" y="1626375"/>
              <a:ext cx="715522" cy="295308"/>
            </a:xfrm>
            <a:prstGeom prst="roundRect">
              <a:avLst/>
            </a:prstGeom>
            <a:solidFill>
              <a:srgbClr val="FFCC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18288" tIns="0" rIns="0" bIns="0" anchor="ctr"/>
            <a:p>
              <a:pPr algn="r">
                <a:defRPr/>
              </a:pPr>
              <a:r>
                <a:rPr lang="en-US" cap="none" sz="1400" b="0" i="0" u="none" baseline="0">
                  <a:solidFill>
                    <a:srgbClr val="000000"/>
                  </a:solidFill>
                </a:rPr>
                <a:t>218</a:t>
              </a:r>
            </a:p>
          </xdr:txBody>
        </xdr:sp>
        <xdr:sp textlink="H41">
          <xdr:nvSpPr>
            <xdr:cNvPr id="7" name="四角形: 角を丸くする 5"/>
            <xdr:cNvSpPr>
              <a:spLocks noChangeAspect="1"/>
            </xdr:cNvSpPr>
          </xdr:nvSpPr>
          <xdr:spPr>
            <a:xfrm>
              <a:off x="8529326" y="1644773"/>
              <a:ext cx="668153" cy="266789"/>
            </a:xfrm>
            <a:prstGeom prst="roundRect">
              <a:avLst/>
            </a:prstGeom>
            <a:solidFill>
              <a:srgbClr val="FFCC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18288" tIns="0" rIns="0" bIns="0" anchor="ctr"/>
            <a:p>
              <a:pPr algn="r">
                <a:defRPr/>
              </a:pPr>
              <a:r>
                <a:rPr lang="en-US" cap="none" sz="1400" b="0" i="0" u="none" baseline="0">
                  <a:solidFill>
                    <a:srgbClr val="000000"/>
                  </a:solidFill>
                </a:rPr>
                <a:t>45</a:t>
              </a:r>
            </a:p>
          </xdr:txBody>
        </xdr:sp>
        <xdr:sp textlink="H55">
          <xdr:nvSpPr>
            <xdr:cNvPr id="8" name="四角形: 角を丸くする 6"/>
            <xdr:cNvSpPr>
              <a:spLocks noChangeAspect="1"/>
            </xdr:cNvSpPr>
          </xdr:nvSpPr>
          <xdr:spPr>
            <a:xfrm>
              <a:off x="9701087" y="2091874"/>
              <a:ext cx="725494" cy="256669"/>
            </a:xfrm>
            <a:prstGeom prst="roundRect">
              <a:avLst/>
            </a:prstGeom>
            <a:solidFill>
              <a:srgbClr val="FFCC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18288" tIns="0" rIns="0" bIns="0" anchor="ctr"/>
            <a:p>
              <a:pPr algn="r">
                <a:defRPr/>
              </a:pPr>
              <a:r>
                <a:rPr lang="en-US" cap="none" sz="1400" b="0" i="0" u="none" baseline="0">
                  <a:solidFill>
                    <a:srgbClr val="000000"/>
                  </a:solidFill>
                </a:rPr>
                <a:t>190</a:t>
              </a:r>
            </a:p>
          </xdr:txBody>
        </xdr:sp>
        <xdr:sp textlink="H54">
          <xdr:nvSpPr>
            <xdr:cNvPr id="9" name="四角形: 角を丸くする 7"/>
            <xdr:cNvSpPr>
              <a:spLocks noChangeAspect="1"/>
            </xdr:cNvSpPr>
          </xdr:nvSpPr>
          <xdr:spPr>
            <a:xfrm>
              <a:off x="6622099" y="2082674"/>
              <a:ext cx="752919" cy="266789"/>
            </a:xfrm>
            <a:prstGeom prst="roundRect">
              <a:avLst/>
            </a:prstGeom>
            <a:solidFill>
              <a:srgbClr val="FFCC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18288" tIns="0" rIns="0" bIns="0" anchor="ctr"/>
            <a:p>
              <a:pPr algn="r">
                <a:defRPr/>
              </a:pPr>
              <a:r>
                <a:rPr lang="en-US" cap="none" sz="1400" b="0" i="0" u="none" baseline="0">
                  <a:solidFill>
                    <a:srgbClr val="000000"/>
                  </a:solidFill>
                </a:rPr>
                <a:t>210</a:t>
              </a:r>
            </a:p>
          </xdr:txBody>
        </xdr:sp>
        <xdr:sp textlink="H56">
          <xdr:nvSpPr>
            <xdr:cNvPr id="10" name="四角形: 角を丸くする 8"/>
            <xdr:cNvSpPr>
              <a:spLocks noChangeAspect="1"/>
            </xdr:cNvSpPr>
          </xdr:nvSpPr>
          <xdr:spPr>
            <a:xfrm>
              <a:off x="6335391" y="2577614"/>
              <a:ext cx="658181" cy="247470"/>
            </a:xfrm>
            <a:prstGeom prst="roundRect">
              <a:avLst/>
            </a:prstGeom>
            <a:solidFill>
              <a:srgbClr val="FFCC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18288" tIns="0" rIns="0" bIns="0" anchor="ctr"/>
            <a:p>
              <a:pPr algn="r">
                <a:defRPr/>
              </a:pPr>
              <a:r>
                <a:rPr lang="en-US" cap="none" sz="1400" b="0" i="0" u="none" baseline="0">
                  <a:solidFill>
                    <a:srgbClr val="000000"/>
                  </a:solidFill>
                </a:rPr>
                <a:t>180</a:t>
              </a:r>
            </a:p>
          </xdr:txBody>
        </xdr:sp>
        <xdr:sp textlink="H57">
          <xdr:nvSpPr>
            <xdr:cNvPr id="11" name="四角形: 角を丸くする 9"/>
            <xdr:cNvSpPr>
              <a:spLocks noChangeAspect="1"/>
            </xdr:cNvSpPr>
          </xdr:nvSpPr>
          <xdr:spPr>
            <a:xfrm>
              <a:off x="8043170" y="2596013"/>
              <a:ext cx="610811" cy="228150"/>
            </a:xfrm>
            <a:prstGeom prst="roundRect">
              <a:avLst/>
            </a:prstGeom>
            <a:solidFill>
              <a:srgbClr val="FFCC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18288" tIns="0" rIns="0" bIns="0" anchor="ctr"/>
            <a:p>
              <a:pPr algn="r">
                <a:defRPr/>
              </a:pPr>
              <a:r>
                <a:rPr lang="en-US" cap="none" sz="1400" b="0" i="0" u="none" baseline="0">
                  <a:solidFill>
                    <a:srgbClr val="000000"/>
                  </a:solidFill>
                </a:rPr>
                <a:t>76</a:t>
              </a:r>
            </a:p>
          </xdr:txBody>
        </xdr:sp>
        <xdr:sp textlink="H58">
          <xdr:nvSpPr>
            <xdr:cNvPr id="12" name="四角形: 角を丸くする 10"/>
            <xdr:cNvSpPr>
              <a:spLocks noChangeAspect="1"/>
            </xdr:cNvSpPr>
          </xdr:nvSpPr>
          <xdr:spPr>
            <a:xfrm>
              <a:off x="8090539" y="2900520"/>
              <a:ext cx="570922" cy="228150"/>
            </a:xfrm>
            <a:prstGeom prst="roundRect">
              <a:avLst/>
            </a:prstGeom>
            <a:solidFill>
              <a:srgbClr val="FFCC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18288" tIns="0" rIns="0" bIns="0" anchor="ctr"/>
            <a:p>
              <a:pPr algn="r">
                <a:defRPr/>
              </a:pPr>
              <a:r>
                <a:rPr lang="en-US" cap="none" sz="1400" b="0" i="0" u="none" baseline="0">
                  <a:solidFill>
                    <a:srgbClr val="000000"/>
                  </a:solidFill>
                </a:rPr>
                <a:t>40</a:t>
              </a:r>
            </a:p>
          </xdr:txBody>
        </xdr:sp>
        <xdr:sp textlink="H63">
          <xdr:nvSpPr>
            <xdr:cNvPr id="13" name="四角形: 角を丸くする 11"/>
            <xdr:cNvSpPr>
              <a:spLocks noChangeAspect="1"/>
            </xdr:cNvSpPr>
          </xdr:nvSpPr>
          <xdr:spPr>
            <a:xfrm>
              <a:off x="11226869" y="3509535"/>
              <a:ext cx="553470" cy="295308"/>
            </a:xfrm>
            <a:prstGeom prst="roundRect">
              <a:avLst/>
            </a:prstGeom>
            <a:solidFill>
              <a:srgbClr val="FFCC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18288" tIns="0" rIns="0" bIns="0" anchor="ctr"/>
            <a:p>
              <a:pPr algn="r">
                <a:defRPr/>
              </a:pPr>
              <a:r>
                <a:rPr lang="en-US" cap="none" sz="1400" b="0" i="0" u="none" baseline="0">
                  <a:solidFill>
                    <a:srgbClr val="000000"/>
                  </a:solidFill>
                </a:rPr>
                <a:t>220</a:t>
              </a:r>
            </a:p>
          </xdr:txBody>
        </xdr:sp>
        <xdr:sp textlink="H44">
          <xdr:nvSpPr>
            <xdr:cNvPr id="14" name="四角形: 角を丸くする 12"/>
            <xdr:cNvSpPr>
              <a:spLocks noChangeAspect="1"/>
            </xdr:cNvSpPr>
          </xdr:nvSpPr>
          <xdr:spPr>
            <a:xfrm>
              <a:off x="13266232" y="3605211"/>
              <a:ext cx="678125" cy="256669"/>
            </a:xfrm>
            <a:prstGeom prst="roundRect">
              <a:avLst/>
            </a:prstGeom>
            <a:solidFill>
              <a:srgbClr val="FFCC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18288" tIns="0" rIns="0" bIns="0" anchor="ctr"/>
            <a:p>
              <a:pPr algn="r">
                <a:defRPr/>
              </a:pPr>
              <a:r>
                <a:rPr lang="en-US" cap="none" sz="1400" b="0" i="0" u="none" baseline="0">
                  <a:solidFill>
                    <a:srgbClr val="000000"/>
                  </a:solidFill>
                </a:rPr>
                <a:t>30</a:t>
              </a:r>
            </a:p>
          </xdr:txBody>
        </xdr:sp>
        <xdr:sp textlink="H45">
          <xdr:nvSpPr>
            <xdr:cNvPr id="15" name="四角形: 角を丸くする 13"/>
            <xdr:cNvSpPr>
              <a:spLocks noChangeAspect="1"/>
            </xdr:cNvSpPr>
          </xdr:nvSpPr>
          <xdr:spPr>
            <a:xfrm>
              <a:off x="10493896" y="5051390"/>
              <a:ext cx="628263" cy="266789"/>
            </a:xfrm>
            <a:prstGeom prst="roundRect">
              <a:avLst/>
            </a:prstGeom>
            <a:solidFill>
              <a:srgbClr val="FFCC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18288" tIns="0" rIns="0" bIns="0" anchor="ctr"/>
            <a:p>
              <a:pPr algn="r">
                <a:defRPr/>
              </a:pPr>
              <a:r>
                <a:rPr lang="en-US" cap="none" sz="1400" b="0" i="0" u="none" baseline="0">
                  <a:solidFill>
                    <a:srgbClr val="000000"/>
                  </a:solidFill>
                </a:rPr>
                <a:t>263</a:t>
              </a:r>
            </a:p>
          </xdr:txBody>
        </xdr:sp>
        <xdr:sp textlink="H59">
          <xdr:nvSpPr>
            <xdr:cNvPr id="16" name="四角形: 角を丸くする 14"/>
            <xdr:cNvSpPr>
              <a:spLocks noChangeAspect="1"/>
            </xdr:cNvSpPr>
          </xdr:nvSpPr>
          <xdr:spPr>
            <a:xfrm>
              <a:off x="6669468" y="3519654"/>
              <a:ext cx="543498" cy="228150"/>
            </a:xfrm>
            <a:prstGeom prst="roundRect">
              <a:avLst/>
            </a:prstGeom>
            <a:solidFill>
              <a:srgbClr val="FFCC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18288" tIns="0" rIns="0" bIns="0" anchor="ctr"/>
            <a:p>
              <a:pPr algn="r">
                <a:defRPr/>
              </a:pPr>
              <a:r>
                <a:rPr lang="en-US" cap="none" sz="1400" b="0" i="0" u="none" baseline="0">
                  <a:solidFill>
                    <a:srgbClr val="000000"/>
                  </a:solidFill>
                </a:rPr>
                <a:t>7</a:t>
              </a:r>
            </a:p>
          </xdr:txBody>
        </xdr:sp>
        <xdr:sp textlink="H60">
          <xdr:nvSpPr>
            <xdr:cNvPr id="17" name="四角形: 角を丸くする 15"/>
            <xdr:cNvSpPr>
              <a:spLocks noChangeAspect="1"/>
            </xdr:cNvSpPr>
          </xdr:nvSpPr>
          <xdr:spPr>
            <a:xfrm>
              <a:off x="6669468" y="3785523"/>
              <a:ext cx="533525" cy="209751"/>
            </a:xfrm>
            <a:prstGeom prst="roundRect">
              <a:avLst/>
            </a:prstGeom>
            <a:solidFill>
              <a:srgbClr val="FFCC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18288" tIns="0" rIns="0" bIns="0" anchor="ctr"/>
            <a:p>
              <a:pPr algn="r">
                <a:defRPr/>
              </a:pPr>
              <a:r>
                <a:rPr lang="en-US" cap="none" sz="1400" b="0" i="0" u="none" baseline="0">
                  <a:solidFill>
                    <a:srgbClr val="000000"/>
                  </a:solidFill>
                </a:rPr>
                <a:t>10</a:t>
              </a:r>
            </a:p>
          </xdr:txBody>
        </xdr:sp>
        <xdr:sp textlink="D5">
          <xdr:nvSpPr>
            <xdr:cNvPr id="18" name="四角形: 角を丸くする 16"/>
            <xdr:cNvSpPr>
              <a:spLocks noChangeAspect="1"/>
            </xdr:cNvSpPr>
          </xdr:nvSpPr>
          <xdr:spPr>
            <a:xfrm>
              <a:off x="3971925" y="2862802"/>
              <a:ext cx="570922" cy="238270"/>
            </a:xfrm>
            <a:prstGeom prst="roundRect">
              <a:avLst/>
            </a:prstGeom>
            <a:solidFill>
              <a:srgbClr val="FFFF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18288" tIns="0" rIns="0" bIns="0" anchor="ctr"/>
            <a:p>
              <a:pPr algn="r">
                <a:defRPr/>
              </a:pPr>
              <a:r>
                <a:rPr lang="en-US" cap="none" sz="1400" b="0" i="0" u="none" baseline="0">
                  <a:solidFill>
                    <a:srgbClr val="000000"/>
                  </a:solidFill>
                </a:rPr>
                <a:t>50</a:t>
              </a:r>
            </a:p>
          </xdr:txBody>
        </xdr:sp>
        <xdr:sp textlink="D6">
          <xdr:nvSpPr>
            <xdr:cNvPr id="19" name="四角形: 角を丸くする 17"/>
            <xdr:cNvSpPr>
              <a:spLocks noChangeAspect="1"/>
            </xdr:cNvSpPr>
          </xdr:nvSpPr>
          <xdr:spPr>
            <a:xfrm>
              <a:off x="3981897" y="2301625"/>
              <a:ext cx="543498" cy="218951"/>
            </a:xfrm>
            <a:prstGeom prst="roundRect">
              <a:avLst/>
            </a:prstGeom>
            <a:solidFill>
              <a:srgbClr val="FFFF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18288" tIns="0" rIns="0" bIns="0" anchor="ctr"/>
            <a:p>
              <a:pPr algn="r">
                <a:defRPr/>
              </a:pPr>
              <a:r>
                <a:rPr lang="en-US" cap="none" sz="1400" b="0" i="0" u="none" baseline="0">
                  <a:solidFill>
                    <a:srgbClr val="000000"/>
                  </a:solidFill>
                </a:rPr>
                <a:t>18</a:t>
              </a:r>
            </a:p>
          </xdr:txBody>
        </xdr:sp>
        <xdr:sp textlink="H62">
          <xdr:nvSpPr>
            <xdr:cNvPr id="20" name="四角形: 角を丸くする 18"/>
            <xdr:cNvSpPr>
              <a:spLocks noChangeAspect="1"/>
            </xdr:cNvSpPr>
          </xdr:nvSpPr>
          <xdr:spPr>
            <a:xfrm>
              <a:off x="5784415" y="4289662"/>
              <a:ext cx="523553" cy="256669"/>
            </a:xfrm>
            <a:prstGeom prst="roundRect">
              <a:avLst/>
            </a:prstGeom>
            <a:solidFill>
              <a:srgbClr val="FFCC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18288" tIns="0" rIns="0" bIns="0" anchor="ctr"/>
            <a:p>
              <a:pPr algn="r">
                <a:defRPr/>
              </a:pPr>
              <a:r>
                <a:rPr lang="en-US" cap="none" sz="1400" b="0" i="0" u="none" baseline="0">
                  <a:solidFill>
                    <a:srgbClr val="000000"/>
                  </a:solidFill>
                </a:rPr>
                <a:t>58</a:t>
              </a:r>
            </a:p>
          </xdr:txBody>
        </xdr:sp>
      </xdr:grpSp>
    </xdr:grpSp>
    <xdr:clientData/>
  </xdr:twoCellAnchor>
  <xdr:oneCellAnchor>
    <xdr:from>
      <xdr:col>1</xdr:col>
      <xdr:colOff>0</xdr:colOff>
      <xdr:row>0</xdr:row>
      <xdr:rowOff>285750</xdr:rowOff>
    </xdr:from>
    <xdr:ext cx="15925800" cy="981075"/>
    <xdr:sp>
      <xdr:nvSpPr>
        <xdr:cNvPr id="21" name="テキスト ボックス 21"/>
        <xdr:cNvSpPr txBox="1">
          <a:spLocks noChangeArrowheads="1"/>
        </xdr:cNvSpPr>
      </xdr:nvSpPr>
      <xdr:spPr>
        <a:xfrm>
          <a:off x="533400" y="285750"/>
          <a:ext cx="1592580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①「機種名」をプルダウンで選択してください。カタログ値が自動入力されます。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②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黄色のセルに数値を入力してください。（赤色は入力できません）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※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「開き角度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NG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」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が表示されますとこの角度まで開扉できません。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③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希望の実用開き角度を入力してください。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④「リンクまたはアームが扉に接触します」が表示されましたら、最寄りの営業所までお問合せ願います。</a:t>
          </a:r>
        </a:p>
      </xdr:txBody>
    </xdr:sp>
    <xdr:clientData/>
  </xdr:oneCellAnchor>
  <xdr:twoCellAnchor>
    <xdr:from>
      <xdr:col>0</xdr:col>
      <xdr:colOff>419100</xdr:colOff>
      <xdr:row>4</xdr:row>
      <xdr:rowOff>200025</xdr:rowOff>
    </xdr:from>
    <xdr:to>
      <xdr:col>0</xdr:col>
      <xdr:colOff>504825</xdr:colOff>
      <xdr:row>6</xdr:row>
      <xdr:rowOff>247650</xdr:rowOff>
    </xdr:to>
    <xdr:sp>
      <xdr:nvSpPr>
        <xdr:cNvPr id="22" name="左大かっこ 23"/>
        <xdr:cNvSpPr>
          <a:spLocks/>
        </xdr:cNvSpPr>
      </xdr:nvSpPr>
      <xdr:spPr>
        <a:xfrm>
          <a:off x="419100" y="2609850"/>
          <a:ext cx="95250" cy="809625"/>
        </a:xfrm>
        <a:prstGeom prst="leftBracket">
          <a:avLst>
            <a:gd name="adj" fmla="val -491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-itoh.RYOBI-GROUP\Desktop\&#35336;&#31639;&#12480;&#12454;&#12531;&#12525;&#12540;&#12489;1901125\12_GP_M1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_GP_M12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06"/>
  <sheetViews>
    <sheetView showGridLines="0" showRowColHeaders="0" tabSelected="1" zoomScale="70" zoomScaleNormal="70" zoomScalePageLayoutView="0" workbookViewId="0" topLeftCell="A1">
      <selection activeCell="D7" sqref="D7"/>
    </sheetView>
  </sheetViews>
  <sheetFormatPr defaultColWidth="8.796875" defaultRowHeight="14.25"/>
  <cols>
    <col min="1" max="1" width="5.59765625" style="1" customWidth="1"/>
    <col min="2" max="3" width="12.59765625" style="1" customWidth="1"/>
    <col min="4" max="4" width="17.59765625" style="1" customWidth="1"/>
    <col min="5" max="5" width="9" style="1" customWidth="1"/>
    <col min="6" max="6" width="12.59765625" style="1" bestFit="1" customWidth="1"/>
    <col min="7" max="7" width="14.19921875" style="1" customWidth="1"/>
    <col min="8" max="8" width="23.5" style="1" customWidth="1"/>
    <col min="9" max="9" width="13.19921875" style="1" customWidth="1"/>
    <col min="10" max="10" width="13.09765625" style="1" customWidth="1"/>
    <col min="11" max="11" width="9" style="1" customWidth="1"/>
    <col min="12" max="12" width="11" style="1" customWidth="1"/>
    <col min="13" max="13" width="34.3984375" style="1" customWidth="1"/>
    <col min="14" max="14" width="10.3984375" style="1" customWidth="1"/>
    <col min="15" max="15" width="18" style="1" hidden="1" customWidth="1"/>
    <col min="16" max="16" width="11.8984375" style="1" hidden="1" customWidth="1"/>
    <col min="17" max="17" width="10.5" style="1" hidden="1" customWidth="1"/>
    <col min="18" max="18" width="8.8984375" style="1" hidden="1" customWidth="1"/>
    <col min="19" max="19" width="7.59765625" style="1" hidden="1" customWidth="1"/>
    <col min="20" max="21" width="9" style="1" hidden="1" customWidth="1"/>
    <col min="22" max="22" width="13.59765625" style="1" hidden="1" customWidth="1"/>
    <col min="23" max="39" width="9" style="1" hidden="1" customWidth="1"/>
    <col min="40" max="16384" width="9" style="1" customWidth="1"/>
  </cols>
  <sheetData>
    <row r="1" spans="2:39" ht="99.75" customHeight="1" thickBot="1">
      <c r="B1" s="2" t="s">
        <v>106</v>
      </c>
      <c r="E1" s="3"/>
      <c r="G1" s="4"/>
      <c r="O1" s="5" t="s">
        <v>58</v>
      </c>
      <c r="U1" s="6"/>
      <c r="V1" s="7"/>
      <c r="W1" s="8" t="s">
        <v>35</v>
      </c>
      <c r="X1" s="8" t="s">
        <v>32</v>
      </c>
      <c r="Y1" s="9" t="s">
        <v>36</v>
      </c>
      <c r="Z1" s="9" t="s">
        <v>37</v>
      </c>
      <c r="AA1" s="9" t="s">
        <v>38</v>
      </c>
      <c r="AB1" s="9" t="s">
        <v>39</v>
      </c>
      <c r="AC1" s="10" t="s">
        <v>115</v>
      </c>
      <c r="AD1" s="9" t="s">
        <v>40</v>
      </c>
      <c r="AE1" s="9" t="s">
        <v>41</v>
      </c>
      <c r="AF1" s="9" t="s">
        <v>42</v>
      </c>
      <c r="AG1" s="11" t="s">
        <v>43</v>
      </c>
      <c r="AH1" s="12" t="s">
        <v>44</v>
      </c>
      <c r="AI1" s="12" t="s">
        <v>45</v>
      </c>
      <c r="AJ1" s="12" t="s">
        <v>46</v>
      </c>
      <c r="AK1" s="12" t="s">
        <v>47</v>
      </c>
      <c r="AL1" s="12" t="s">
        <v>48</v>
      </c>
      <c r="AM1" s="12" t="s">
        <v>49</v>
      </c>
    </row>
    <row r="2" spans="1:39" ht="30" customHeight="1" thickBot="1" thickTop="1">
      <c r="A2" s="13" t="s">
        <v>112</v>
      </c>
      <c r="B2" s="82" t="s">
        <v>20</v>
      </c>
      <c r="C2" s="83"/>
      <c r="D2" s="14" t="s">
        <v>111</v>
      </c>
      <c r="E2" s="15"/>
      <c r="F2" s="98"/>
      <c r="G2" s="98"/>
      <c r="H2" s="99"/>
      <c r="I2" s="99"/>
      <c r="J2" s="99"/>
      <c r="K2" s="99"/>
      <c r="M2" s="16"/>
      <c r="N2" s="16"/>
      <c r="O2" s="17" t="s">
        <v>56</v>
      </c>
      <c r="U2" s="18">
        <v>57</v>
      </c>
      <c r="V2" s="19" t="s">
        <v>107</v>
      </c>
      <c r="W2" s="20">
        <v>18</v>
      </c>
      <c r="X2" s="20"/>
      <c r="Y2" s="21">
        <v>45</v>
      </c>
      <c r="Z2" s="21">
        <v>218</v>
      </c>
      <c r="AA2" s="21">
        <v>220</v>
      </c>
      <c r="AB2" s="21">
        <v>30</v>
      </c>
      <c r="AC2" s="22"/>
      <c r="AD2" s="21">
        <v>58</v>
      </c>
      <c r="AE2" s="21">
        <v>4</v>
      </c>
      <c r="AF2" s="21">
        <v>263</v>
      </c>
      <c r="AG2" s="78">
        <v>210</v>
      </c>
      <c r="AH2" s="21">
        <v>190</v>
      </c>
      <c r="AI2" s="21">
        <v>180</v>
      </c>
      <c r="AJ2" s="21">
        <v>76</v>
      </c>
      <c r="AK2" s="21">
        <v>40</v>
      </c>
      <c r="AL2" s="21">
        <v>7</v>
      </c>
      <c r="AM2" s="21">
        <v>10</v>
      </c>
    </row>
    <row r="3" spans="2:16" ht="30" customHeight="1" thickBot="1" thickTop="1">
      <c r="B3" s="82" t="s">
        <v>122</v>
      </c>
      <c r="C3" s="83"/>
      <c r="D3" s="23">
        <f>_xlfn.IFERROR(IF(E3=D9,E3,D9),"開き角度NG")</f>
        <v>120</v>
      </c>
      <c r="E3" s="100">
        <f>IF($D$5="","",IF(OR($H$45="",$H$40="",$H$41="",$H$42="",$H$63="",$H$61="",$H$44=""),"",IF($F$47="上記Ｒの値では取付できません","取付不可",IF(($J$18+$J$19)&lt;$J$20,"180°以上",(ACOS(($J$18^2+$J$19^2-$J$20^2)/(2*$J$18*$J$19))-$J$16+$J$17)*180/PI()))))</f>
        <v>118.84990215604213</v>
      </c>
      <c r="F3" s="100"/>
      <c r="G3" s="100"/>
      <c r="H3" s="101"/>
      <c r="I3" s="101"/>
      <c r="J3" s="102"/>
      <c r="K3" s="102"/>
      <c r="M3" s="24"/>
      <c r="N3" s="24"/>
      <c r="O3" s="17" t="s">
        <v>64</v>
      </c>
      <c r="P3" s="25"/>
    </row>
    <row r="4" spans="2:22" ht="30" customHeight="1" thickBot="1" thickTop="1">
      <c r="B4" s="4"/>
      <c r="C4" s="4"/>
      <c r="D4" s="4"/>
      <c r="F4" s="26"/>
      <c r="G4" s="27"/>
      <c r="H4" s="28"/>
      <c r="I4" s="29"/>
      <c r="J4" s="30"/>
      <c r="K4" s="31"/>
      <c r="L4" s="31"/>
      <c r="M4" s="27"/>
      <c r="N4" s="26"/>
      <c r="O4" s="17" t="s">
        <v>57</v>
      </c>
      <c r="Q4" s="1" t="s">
        <v>28</v>
      </c>
      <c r="S4" s="1" t="s">
        <v>27</v>
      </c>
      <c r="V4" s="1" t="s">
        <v>86</v>
      </c>
    </row>
    <row r="5" spans="1:22" ht="30" customHeight="1" thickBot="1" thickTop="1">
      <c r="A5" s="13"/>
      <c r="B5" s="82" t="s">
        <v>116</v>
      </c>
      <c r="C5" s="83"/>
      <c r="D5" s="32">
        <v>50</v>
      </c>
      <c r="J5" s="33">
        <f>F49</f>
      </c>
      <c r="M5" s="34"/>
      <c r="O5" s="17" t="s">
        <v>61</v>
      </c>
      <c r="Q5" s="35" t="str">
        <f>IF($F$47="上記Ｒの値では取付できません","取付不可",IF(((($H$41+S5)^2+($H$40+$H$44)^2)^0.5+(((S5)^2+($H$40+$H$61)^2)^0.5))&lt;($H$63+$H$45),"180°以上",(ACOS((((($H$41+S5)^2+($H$40+$H$44)^2)^0.5)^2+(((S5)^2+($H$40+$H$61)^2)^0.5)^2-($H$63+$H$45)^2)/(2*((($H$41+S5)^2+($H$40+$H$44)^2)^0.5)*(((S5)^2+($H$40+$H$61)^2)^0.5)))-(ACOS(S5/(((S5)^2+($H$40+$H$61)^2)^0.5)))+(ACOS(($H$41+S5)/((($H$41+S5)^2+($H$40+$H$44)^2)^0.5))))*180/PI()))</f>
        <v>180°以上</v>
      </c>
      <c r="R5" s="36" t="str">
        <f>IF(Q5="","",IF(Q5="180°以上","180",ROUND(Q5,0)))</f>
        <v>180</v>
      </c>
      <c r="S5" s="1">
        <v>1</v>
      </c>
      <c r="V5" s="1" t="s">
        <v>87</v>
      </c>
    </row>
    <row r="6" spans="1:19" ht="30" customHeight="1" thickBot="1" thickTop="1">
      <c r="A6" s="13" t="s">
        <v>113</v>
      </c>
      <c r="B6" s="88" t="s">
        <v>120</v>
      </c>
      <c r="C6" s="89"/>
      <c r="D6" s="32">
        <v>18</v>
      </c>
      <c r="O6" s="17" t="s">
        <v>62</v>
      </c>
      <c r="Q6" s="35" t="str">
        <f aca="true" t="shared" si="0" ref="Q6:Q33">IF(OR($H$45="",$H$40="",$H$41="",$H$63="",$H$61="",$H$44=""),"",IF($F$47="上記Ｒの値では取付できません","取付不可",IF(((($H$41+S6)^2+($H$40+$H$44)^2)^0.5+(((S6)^2+($H$40+$H$61)^2)^0.5))&lt;($H$63+$H$45),"180°以上",(ACOS((((($H$41+S6)^2+($H$40+$H$44)^2)^0.5)^2+(((S6)^2+($H$40+$H$61)^2)^0.5)^2-($H$63+$H$45)^2)/(2*((($H$41+S6)^2+($H$40+$H$44)^2)^0.5)*(((S6)^2+($H$40+$H$61)^2)^0.5)))-(ACOS(S6/(((S6)^2+($H$40+$H$61)^2)^0.5)))+(ACOS(($H$41+S6)/((($H$41+S6)^2+($H$40+$H$44)^2)^0.5))))*180/PI())))</f>
        <v>180°以上</v>
      </c>
      <c r="R6" s="36" t="str">
        <f aca="true" t="shared" si="1" ref="R6:R33">IF(Q6="","",IF(Q6="180°以上","180",ROUND(Q6,0)))</f>
        <v>180</v>
      </c>
      <c r="S6" s="1">
        <v>2</v>
      </c>
    </row>
    <row r="7" spans="1:22" ht="30" customHeight="1" thickBot="1" thickTop="1">
      <c r="A7" s="13"/>
      <c r="B7" s="82" t="s">
        <v>117</v>
      </c>
      <c r="C7" s="83"/>
      <c r="D7" s="32">
        <v>4</v>
      </c>
      <c r="K7" s="26"/>
      <c r="L7" s="26"/>
      <c r="O7" s="17" t="s">
        <v>73</v>
      </c>
      <c r="Q7" s="35" t="str">
        <f t="shared" si="0"/>
        <v>180°以上</v>
      </c>
      <c r="R7" s="36" t="str">
        <f t="shared" si="1"/>
        <v>180</v>
      </c>
      <c r="S7" s="1">
        <v>3</v>
      </c>
      <c r="V7" s="1" t="s">
        <v>91</v>
      </c>
    </row>
    <row r="8" spans="2:22" ht="30" customHeight="1" thickBot="1" thickTop="1">
      <c r="B8" s="80" t="s">
        <v>119</v>
      </c>
      <c r="F8" s="38"/>
      <c r="I8" s="39"/>
      <c r="K8" s="26"/>
      <c r="L8" s="26"/>
      <c r="O8" s="17" t="s">
        <v>74</v>
      </c>
      <c r="Q8" s="35" t="str">
        <f t="shared" si="0"/>
        <v>180°以上</v>
      </c>
      <c r="R8" s="36" t="str">
        <f t="shared" si="1"/>
        <v>180</v>
      </c>
      <c r="S8" s="1">
        <v>4</v>
      </c>
      <c r="V8" s="1" t="s">
        <v>92</v>
      </c>
    </row>
    <row r="9" spans="1:19" ht="30" customHeight="1" thickBot="1" thickTop="1">
      <c r="A9" s="13" t="s">
        <v>114</v>
      </c>
      <c r="B9" s="82" t="s">
        <v>121</v>
      </c>
      <c r="C9" s="83"/>
      <c r="D9" s="40">
        <v>120</v>
      </c>
      <c r="K9" s="26"/>
      <c r="L9" s="26"/>
      <c r="O9" s="17" t="s">
        <v>63</v>
      </c>
      <c r="Q9" s="35" t="str">
        <f t="shared" si="0"/>
        <v>180°以上</v>
      </c>
      <c r="R9" s="36" t="str">
        <f t="shared" si="1"/>
        <v>180</v>
      </c>
      <c r="S9" s="1">
        <v>5</v>
      </c>
    </row>
    <row r="10" spans="11:19" ht="30" customHeight="1" thickBot="1" thickTop="1">
      <c r="K10" s="26"/>
      <c r="L10" s="26"/>
      <c r="O10" s="17" t="s">
        <v>65</v>
      </c>
      <c r="Q10" s="35" t="str">
        <f t="shared" si="0"/>
        <v>180°以上</v>
      </c>
      <c r="R10" s="36" t="str">
        <f t="shared" si="1"/>
        <v>180</v>
      </c>
      <c r="S10" s="1">
        <v>6</v>
      </c>
    </row>
    <row r="11" spans="1:19" ht="30" customHeight="1" thickBot="1" thickTop="1">
      <c r="A11" s="13" t="s">
        <v>124</v>
      </c>
      <c r="B11" s="95">
        <f>_xlfn.IFERROR(F49,"開き角度NG")</f>
      </c>
      <c r="C11" s="96"/>
      <c r="D11" s="97"/>
      <c r="H11" s="41"/>
      <c r="I11" s="38"/>
      <c r="K11" s="26"/>
      <c r="L11" s="26"/>
      <c r="O11" s="17" t="s">
        <v>66</v>
      </c>
      <c r="Q11" s="35" t="str">
        <f t="shared" si="0"/>
        <v>180°以上</v>
      </c>
      <c r="R11" s="36" t="str">
        <f t="shared" si="1"/>
        <v>180</v>
      </c>
      <c r="S11" s="1">
        <v>7</v>
      </c>
    </row>
    <row r="12" spans="11:19" ht="30" customHeight="1" thickTop="1">
      <c r="K12" s="26"/>
      <c r="L12" s="26"/>
      <c r="O12" s="17" t="s">
        <v>67</v>
      </c>
      <c r="Q12" s="35" t="str">
        <f t="shared" si="0"/>
        <v>180°以上</v>
      </c>
      <c r="R12" s="36" t="str">
        <f t="shared" si="1"/>
        <v>180</v>
      </c>
      <c r="S12" s="1">
        <v>8</v>
      </c>
    </row>
    <row r="13" spans="10:19" ht="30" customHeight="1">
      <c r="J13" s="42"/>
      <c r="K13" s="26"/>
      <c r="L13" s="26"/>
      <c r="O13" s="17" t="s">
        <v>68</v>
      </c>
      <c r="Q13" s="35" t="str">
        <f t="shared" si="0"/>
        <v>180°以上</v>
      </c>
      <c r="R13" s="36" t="str">
        <f t="shared" si="1"/>
        <v>180</v>
      </c>
      <c r="S13" s="1">
        <v>9</v>
      </c>
    </row>
    <row r="14" spans="9:19" ht="29.25" customHeight="1" hidden="1">
      <c r="I14" s="1" t="s">
        <v>16</v>
      </c>
      <c r="L14" s="1">
        <f>(ACOS((J18^2+J19^2-J20^2)/(2*J18*J19))-J16+J17)*180/PI()</f>
        <v>118.84990215604213</v>
      </c>
      <c r="M14" s="1" t="s">
        <v>7</v>
      </c>
      <c r="N14" s="1">
        <f>(ACOS(J19*COS(J16)/J18)+J17)*180/PI()</f>
        <v>59.47480566002055</v>
      </c>
      <c r="O14" s="17" t="s">
        <v>75</v>
      </c>
      <c r="Q14" s="35" t="str">
        <f t="shared" si="0"/>
        <v>180°以上</v>
      </c>
      <c r="R14" s="36" t="str">
        <f t="shared" si="1"/>
        <v>180</v>
      </c>
      <c r="S14" s="1">
        <v>10</v>
      </c>
    </row>
    <row r="15" spans="5:19" ht="30" customHeight="1" hidden="1">
      <c r="E15" s="43" t="s">
        <v>0</v>
      </c>
      <c r="F15" s="44">
        <f>ACOS($H$42/$F$18)</f>
        <v>0.5377168041485749</v>
      </c>
      <c r="I15" s="1" t="s">
        <v>17</v>
      </c>
      <c r="L15" s="1">
        <f>(J18^2+J19^2-(J20)^2)/(2*J18*J19)</f>
        <v>-0.6323298688327629</v>
      </c>
      <c r="M15" s="45" t="s">
        <v>21</v>
      </c>
      <c r="N15" s="1">
        <f>IF(OR(L15&lt;-1,L15&gt;1),((H42-H40*COS((180-90)*PI()/180))^2+(H40+H61+H40*SIN((180-90)*PI()/180))^2)^0.5,((H42-H40*COS((D3-90)*PI()/180))^2+(H40+H61+H40*SIN((D3-90)*PI()/180))^2)^0.5)</f>
        <v>228.49962544520494</v>
      </c>
      <c r="O15" s="17" t="s">
        <v>76</v>
      </c>
      <c r="Q15" s="35" t="str">
        <f t="shared" si="0"/>
        <v>180°以上</v>
      </c>
      <c r="R15" s="36" t="str">
        <f t="shared" si="1"/>
        <v>180</v>
      </c>
      <c r="S15" s="1">
        <v>11</v>
      </c>
    </row>
    <row r="16" spans="5:19" ht="30" customHeight="1" hidden="1">
      <c r="E16" s="43" t="s">
        <v>30</v>
      </c>
      <c r="F16" s="44">
        <f>ACOS(($H$42+$H$41)/$F$17)</f>
        <v>0.35668560239978375</v>
      </c>
      <c r="I16" s="1" t="s">
        <v>0</v>
      </c>
      <c r="J16" s="1">
        <f>ACOS(H42/J19)</f>
        <v>0.5377168041485749</v>
      </c>
      <c r="K16" s="1" t="s">
        <v>8</v>
      </c>
      <c r="L16" s="46">
        <f>IF(OR(L15&lt;-1,L15&gt;1),(F17^2+F18^2-2*F17*F18*COS(2*PI()-(180*PI()/180+F15-F16)))^0.5,(F17^2+F18^2-2*F17*F18*COS(2*PI()-(L14*PI()/180+F15-F16)))^0.5)</f>
        <v>483</v>
      </c>
      <c r="M16" s="1" t="s">
        <v>22</v>
      </c>
      <c r="N16" s="1">
        <f>IF(OR(L15&lt;-1,L15&gt;1),(PI()/2-ASIN(15/N15)-ACOS((H42-H40*COS((180-90)*PI()/180))/N15))*180/PI(),(PI()/2-ASIN(15/N15)-ACOS((H42-H40*COS((D3-90)*PI()/180))/N15))*180/PI())</f>
        <v>40.36906774623683</v>
      </c>
      <c r="Q16" s="35" t="str">
        <f t="shared" si="0"/>
        <v>180°以上</v>
      </c>
      <c r="R16" s="36" t="str">
        <f t="shared" si="1"/>
        <v>180</v>
      </c>
      <c r="S16" s="1">
        <v>12</v>
      </c>
    </row>
    <row r="17" spans="5:19" ht="30" customHeight="1" hidden="1">
      <c r="E17" s="43" t="s">
        <v>2</v>
      </c>
      <c r="F17" s="44">
        <f>((H42+H41)^2+(H40+H44)^2)^0.5</f>
        <v>280.6652810733811</v>
      </c>
      <c r="G17" s="1" t="s">
        <v>18</v>
      </c>
      <c r="I17" s="1" t="s">
        <v>1</v>
      </c>
      <c r="J17" s="1">
        <f>ACOS((H41+H42)/J18)</f>
        <v>0.35668560239978375</v>
      </c>
      <c r="K17" s="1" t="s">
        <v>9</v>
      </c>
      <c r="L17" s="39">
        <f>IF(L16="","",IF(OR((L16^2+H63^2-H45^2)/(2*H63*L16)&lt;-1,(L16^2+H63^2-H45^2)/(2*H63*L16)&gt;1),"",IF(OR((L16^2+H63^2-H45^2)/(2*H63*L16)=1,(L16^2+H63^2-H45^2)/(2*H63*L16)=-1),0,ACOS((L16^2+H63^2-H45^2)/(2*H63*L16))*180/PI())))</f>
        <v>0</v>
      </c>
      <c r="M17" s="1" t="s">
        <v>10</v>
      </c>
      <c r="N17" s="1">
        <v>0</v>
      </c>
      <c r="Q17" s="35" t="str">
        <f t="shared" si="0"/>
        <v>180°以上</v>
      </c>
      <c r="R17" s="36" t="str">
        <f t="shared" si="1"/>
        <v>180</v>
      </c>
      <c r="S17" s="1">
        <v>13</v>
      </c>
    </row>
    <row r="18" spans="5:39" s="25" customFormat="1" ht="30" customHeight="1" hidden="1">
      <c r="E18" s="43" t="s">
        <v>3</v>
      </c>
      <c r="F18" s="44">
        <f>(H42^2+(H40+H61)^2)^0.5</f>
        <v>253.81883302859936</v>
      </c>
      <c r="G18" s="1"/>
      <c r="H18" s="1" t="e">
        <f>IF(F19&gt;=#REF!,"180゜以上",IF(AND(F19&gt;=#REF!,F19&lt;#REF!),#REF!,IF(AND(F19&gt;#REF!,F19&lt;#REF!),N22,#REF!)))</f>
        <v>#REF!</v>
      </c>
      <c r="I18" s="25" t="s">
        <v>2</v>
      </c>
      <c r="J18" s="25">
        <f>((H41+H42)^2+(H40+H44)^2)^0.5</f>
        <v>280.6652810733811</v>
      </c>
      <c r="K18" s="1" t="s">
        <v>11</v>
      </c>
      <c r="L18" s="25">
        <f>IF(L17="","",IF(OR(L15&lt;-1,L15&gt;1),ACOS((F17*SIN(180*PI()/180-F16)+H40+H61)/L16)*180/PI(),ACOS((F17*SIN(L14*PI()/180-F16)+H40+H61)/L16)*180/PI()))</f>
        <v>32.43662801809362</v>
      </c>
      <c r="M18" s="1" t="s">
        <v>12</v>
      </c>
      <c r="N18" s="1">
        <f>180+ASIN((H44-15)/(H42+H41))*180/PI()</f>
        <v>183.26959437264415</v>
      </c>
      <c r="Q18" s="35" t="str">
        <f t="shared" si="0"/>
        <v>180°以上</v>
      </c>
      <c r="R18" s="36" t="str">
        <f t="shared" si="1"/>
        <v>180</v>
      </c>
      <c r="S18" s="1">
        <v>14</v>
      </c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5:19" ht="30" customHeight="1" hidden="1">
      <c r="E19" s="43" t="s">
        <v>4</v>
      </c>
      <c r="F19" s="44">
        <f>H45+H63</f>
        <v>483</v>
      </c>
      <c r="I19" s="1" t="s">
        <v>3</v>
      </c>
      <c r="J19" s="25">
        <f>((H42)^2+(H40+H61)^2)^0.5</f>
        <v>253.81883302859936</v>
      </c>
      <c r="K19" s="25" t="s">
        <v>13</v>
      </c>
      <c r="L19" s="1">
        <f>IF(L17="","",IF(D3&gt;N14,90-(L17+L18),90-(L17-L18)))</f>
        <v>57.56337198190638</v>
      </c>
      <c r="M19" s="1" t="s">
        <v>23</v>
      </c>
      <c r="N19" s="1">
        <f>IF(D3="180°以上",90-(180-N20-L17-L18),IF(D3&lt;$N$14,90-(180-N20-L17+L18),90-(180-N20-L17-L18)))</f>
        <v>122.43662801809361</v>
      </c>
      <c r="Q19" s="35" t="str">
        <f t="shared" si="0"/>
        <v>180°以上</v>
      </c>
      <c r="R19" s="36" t="str">
        <f t="shared" si="1"/>
        <v>180</v>
      </c>
      <c r="S19" s="1">
        <v>15</v>
      </c>
    </row>
    <row r="20" spans="6:19" ht="30" customHeight="1" hidden="1">
      <c r="F20" s="47">
        <f>F15*180/PI()</f>
        <v>30.80890345097602</v>
      </c>
      <c r="I20" s="1" t="s">
        <v>4</v>
      </c>
      <c r="J20" s="48">
        <f>H63+H45</f>
        <v>483</v>
      </c>
      <c r="K20" s="1" t="s">
        <v>14</v>
      </c>
      <c r="L20" s="1">
        <f>IF(L19="","",IF(OR(L15&lt;-1,L15&gt;1),180+L19+0,L14+L19+0))</f>
        <v>176.41327413794852</v>
      </c>
      <c r="M20" s="1" t="s">
        <v>25</v>
      </c>
      <c r="N20" s="1">
        <f>IF(OR(N23&lt;=-1,1&lt;=N23),180,ACOS((H63^2+H45^2-L16^2)/(2*H63*H45))*180/PI())</f>
        <v>180</v>
      </c>
      <c r="Q20" s="35" t="str">
        <f t="shared" si="0"/>
        <v>180°以上</v>
      </c>
      <c r="R20" s="36" t="str">
        <f t="shared" si="1"/>
        <v>180</v>
      </c>
      <c r="S20" s="1">
        <v>16</v>
      </c>
    </row>
    <row r="21" spans="5:19" ht="30" customHeight="1" hidden="1">
      <c r="E21" s="49" t="s">
        <v>55</v>
      </c>
      <c r="F21" s="50"/>
      <c r="G21" s="51"/>
      <c r="H21" s="52"/>
      <c r="I21" s="1" t="s">
        <v>19</v>
      </c>
      <c r="J21" s="1">
        <f>((H41+H42)^2+(2*H40)^2)^0.5</f>
        <v>296.08275870100914</v>
      </c>
      <c r="M21" s="1" t="s">
        <v>24</v>
      </c>
      <c r="N21" s="1">
        <f>(J18^2+J19^2-2*J18*J19*COS(2*PI()-(N22*PI()/180+J16-J17)))^0.5</f>
        <v>483</v>
      </c>
      <c r="O21" s="53" t="s">
        <v>83</v>
      </c>
      <c r="Q21" s="35" t="str">
        <f t="shared" si="0"/>
        <v>180°以上</v>
      </c>
      <c r="R21" s="36" t="str">
        <f t="shared" si="1"/>
        <v>180</v>
      </c>
      <c r="S21" s="1">
        <v>17</v>
      </c>
    </row>
    <row r="22" spans="6:19" ht="11.25" customHeight="1" hidden="1">
      <c r="F22" s="50"/>
      <c r="G22" s="51"/>
      <c r="H22" s="52"/>
      <c r="J22" s="103"/>
      <c r="K22" s="103"/>
      <c r="L22" s="103"/>
      <c r="M22" s="1" t="s">
        <v>15</v>
      </c>
      <c r="N22" s="45">
        <f>(ACOS((F17^2+F18^2-L16^2)/(2*F17*F18))-(F15-F16))*180/PI()</f>
        <v>118.84990215604213</v>
      </c>
      <c r="O22" s="53"/>
      <c r="Q22" s="35" t="str">
        <f t="shared" si="0"/>
        <v>180°以上</v>
      </c>
      <c r="R22" s="36" t="str">
        <f t="shared" si="1"/>
        <v>180</v>
      </c>
      <c r="S22" s="1">
        <v>18</v>
      </c>
    </row>
    <row r="23" spans="5:19" ht="18" customHeight="1" hidden="1">
      <c r="E23" s="55" t="s">
        <v>69</v>
      </c>
      <c r="F23" s="56"/>
      <c r="G23" s="57"/>
      <c r="H23" s="58"/>
      <c r="I23" s="59"/>
      <c r="J23" s="54"/>
      <c r="K23" s="54"/>
      <c r="L23" s="54"/>
      <c r="N23" s="35">
        <f>(H63^2+H45^2-N21^2)/(2*H63*H45)</f>
        <v>-1</v>
      </c>
      <c r="O23" s="17" t="s">
        <v>84</v>
      </c>
      <c r="Q23" s="35" t="str">
        <f t="shared" si="0"/>
        <v>180°以上</v>
      </c>
      <c r="R23" s="36" t="str">
        <f t="shared" si="1"/>
        <v>180</v>
      </c>
      <c r="S23" s="1">
        <v>19</v>
      </c>
    </row>
    <row r="24" spans="5:19" ht="18" customHeight="1" hidden="1">
      <c r="E24" s="60" t="s">
        <v>72</v>
      </c>
      <c r="F24" s="56"/>
      <c r="G24" s="57"/>
      <c r="H24" s="58"/>
      <c r="I24" s="59"/>
      <c r="J24" s="61"/>
      <c r="K24" s="61"/>
      <c r="L24" s="61"/>
      <c r="Q24" s="35" t="str">
        <f t="shared" si="0"/>
        <v>180°以上</v>
      </c>
      <c r="R24" s="36" t="str">
        <f t="shared" si="1"/>
        <v>180</v>
      </c>
      <c r="S24" s="1">
        <v>20</v>
      </c>
    </row>
    <row r="25" spans="5:19" ht="18" customHeight="1" hidden="1">
      <c r="E25" s="60"/>
      <c r="F25" s="56"/>
      <c r="G25" s="57"/>
      <c r="H25" s="58"/>
      <c r="I25" s="59"/>
      <c r="J25" s="61"/>
      <c r="K25" s="61"/>
      <c r="L25" s="61"/>
      <c r="Q25" s="35" t="str">
        <f t="shared" si="0"/>
        <v>180°以上</v>
      </c>
      <c r="R25" s="36" t="str">
        <f t="shared" si="1"/>
        <v>180</v>
      </c>
      <c r="S25" s="1">
        <v>21</v>
      </c>
    </row>
    <row r="26" spans="5:19" ht="33" customHeight="1" hidden="1">
      <c r="E26" s="59"/>
      <c r="I26" s="59"/>
      <c r="J26" s="104"/>
      <c r="K26" s="104"/>
      <c r="L26" s="104"/>
      <c r="Q26" s="35" t="str">
        <f t="shared" si="0"/>
        <v>180°以上</v>
      </c>
      <c r="R26" s="36" t="str">
        <f t="shared" si="1"/>
        <v>180</v>
      </c>
      <c r="S26" s="1">
        <v>22</v>
      </c>
    </row>
    <row r="27" spans="5:19" ht="18" customHeight="1" hidden="1">
      <c r="E27" s="15"/>
      <c r="F27" s="15"/>
      <c r="G27" s="15"/>
      <c r="H27" s="15"/>
      <c r="I27" s="15"/>
      <c r="J27" s="63"/>
      <c r="K27" s="64"/>
      <c r="L27" s="54"/>
      <c r="Q27" s="35" t="str">
        <f t="shared" si="0"/>
        <v>180°以上</v>
      </c>
      <c r="R27" s="36" t="str">
        <f t="shared" si="1"/>
        <v>180</v>
      </c>
      <c r="S27" s="1">
        <v>23</v>
      </c>
    </row>
    <row r="28" spans="5:19" ht="23.25" customHeight="1" hidden="1">
      <c r="E28" s="55" t="s">
        <v>88</v>
      </c>
      <c r="J28" s="63"/>
      <c r="K28" s="65"/>
      <c r="L28" s="65"/>
      <c r="Q28" s="35" t="str">
        <f t="shared" si="0"/>
        <v>180°以上</v>
      </c>
      <c r="R28" s="36" t="str">
        <f t="shared" si="1"/>
        <v>180</v>
      </c>
      <c r="S28" s="1">
        <v>24</v>
      </c>
    </row>
    <row r="29" spans="5:19" ht="23.25" customHeight="1" hidden="1">
      <c r="E29" s="105" t="s">
        <v>100</v>
      </c>
      <c r="F29" s="105"/>
      <c r="G29" s="105"/>
      <c r="H29" s="105"/>
      <c r="I29" s="105"/>
      <c r="J29" s="105"/>
      <c r="K29" s="105"/>
      <c r="L29" s="105"/>
      <c r="Q29" s="35" t="str">
        <f t="shared" si="0"/>
        <v>180°以上</v>
      </c>
      <c r="R29" s="36" t="str">
        <f t="shared" si="1"/>
        <v>180</v>
      </c>
      <c r="S29" s="1">
        <v>25</v>
      </c>
    </row>
    <row r="30" spans="5:19" ht="23.25" customHeight="1" hidden="1">
      <c r="E30" s="55" t="s">
        <v>71</v>
      </c>
      <c r="F30" s="50"/>
      <c r="G30" s="5"/>
      <c r="H30" s="66"/>
      <c r="J30" s="62"/>
      <c r="K30" s="62"/>
      <c r="L30" s="62"/>
      <c r="Q30" s="35" t="str">
        <f t="shared" si="0"/>
        <v>180°以上</v>
      </c>
      <c r="R30" s="36" t="str">
        <f t="shared" si="1"/>
        <v>180</v>
      </c>
      <c r="S30" s="1">
        <v>26</v>
      </c>
    </row>
    <row r="31" spans="5:19" ht="18" customHeight="1" hidden="1">
      <c r="E31" s="59"/>
      <c r="F31" s="56"/>
      <c r="G31" s="59"/>
      <c r="H31" s="59"/>
      <c r="I31" s="59"/>
      <c r="J31" s="62"/>
      <c r="K31" s="62"/>
      <c r="L31" s="62"/>
      <c r="Q31" s="35" t="str">
        <f t="shared" si="0"/>
        <v>180°以上</v>
      </c>
      <c r="R31" s="36" t="str">
        <f t="shared" si="1"/>
        <v>180</v>
      </c>
      <c r="S31" s="1">
        <v>27</v>
      </c>
    </row>
    <row r="32" spans="5:19" ht="32.25" customHeight="1" hidden="1">
      <c r="E32" s="59"/>
      <c r="I32" s="84"/>
      <c r="J32" s="85"/>
      <c r="K32" s="85"/>
      <c r="L32" s="85"/>
      <c r="M32" s="85"/>
      <c r="N32" s="85"/>
      <c r="Q32" s="35" t="str">
        <f t="shared" si="0"/>
        <v>180°以上</v>
      </c>
      <c r="R32" s="36" t="str">
        <f t="shared" si="1"/>
        <v>180</v>
      </c>
      <c r="S32" s="1">
        <v>28</v>
      </c>
    </row>
    <row r="33" spans="5:19" ht="32.25" customHeight="1" hidden="1" thickBot="1">
      <c r="E33" s="59"/>
      <c r="I33" s="59"/>
      <c r="J33" s="62"/>
      <c r="K33" s="62"/>
      <c r="L33" s="62"/>
      <c r="Q33" s="35" t="str">
        <f t="shared" si="0"/>
        <v>180°以上</v>
      </c>
      <c r="R33" s="36" t="str">
        <f t="shared" si="1"/>
        <v>180</v>
      </c>
      <c r="S33" s="1">
        <v>29</v>
      </c>
    </row>
    <row r="34" spans="5:19" ht="33.75" customHeight="1" hidden="1" thickBot="1" thickTop="1">
      <c r="E34" s="59"/>
      <c r="F34" s="82" t="s">
        <v>85</v>
      </c>
      <c r="G34" s="83"/>
      <c r="H34" s="67"/>
      <c r="I34" s="59"/>
      <c r="J34" s="62"/>
      <c r="K34" s="62"/>
      <c r="L34" s="62"/>
      <c r="Q34" s="35"/>
      <c r="R34" s="36"/>
      <c r="S34" s="1">
        <v>30</v>
      </c>
    </row>
    <row r="35" spans="5:19" ht="33" customHeight="1" hidden="1" thickTop="1">
      <c r="E35" s="59"/>
      <c r="F35" s="56"/>
      <c r="G35" s="59"/>
      <c r="H35" s="59"/>
      <c r="I35" s="59"/>
      <c r="J35" s="62"/>
      <c r="K35" s="62"/>
      <c r="L35" s="62"/>
      <c r="Q35" s="35"/>
      <c r="R35" s="36" t="str">
        <f aca="true" t="shared" si="2" ref="R35:R98">IF(Q36="","",IF(Q36="180°以上","180",ROUND(Q36,0)))</f>
        <v>180</v>
      </c>
      <c r="S35" s="1">
        <v>31</v>
      </c>
    </row>
    <row r="36" spans="5:19" ht="23.25" customHeight="1" hidden="1">
      <c r="E36" s="55" t="s">
        <v>59</v>
      </c>
      <c r="F36" s="56"/>
      <c r="G36" s="59"/>
      <c r="H36" s="59"/>
      <c r="I36" s="59"/>
      <c r="J36" s="62"/>
      <c r="K36" s="62"/>
      <c r="L36" s="62"/>
      <c r="Q36" s="35" t="str">
        <f aca="true" t="shared" si="3" ref="Q36:Q99">IF(OR($H$45="",$H$40="",$H$41="",$H$63="",$H$61="",$H$44=""),"",IF($F$47="上記Ｒの値では取付できません","取付不可",IF(((($H$41+S34)^2+($H$40+$H$44)^2)^0.5+(((S34)^2+($H$40+$H$61)^2)^0.5))&lt;($H$63+$H$45),"180°以上",(ACOS((((($H$41+S34)^2+($H$40+$H$44)^2)^0.5)^2+(((S34)^2+($H$40+$H$61)^2)^0.5)^2-($H$63+$H$45)^2)/(2*((($H$41+S34)^2+($H$40+$H$44)^2)^0.5)*(((S34)^2+($H$40+$H$61)^2)^0.5)))-(ACOS(S34/(((S34)^2+($H$40+$H$61)^2)^0.5)))+(ACOS(($H$41+S34)/((($H$41+S34)^2+($H$40+$H$44)^2)^0.5))))*180/PI())))</f>
        <v>180°以上</v>
      </c>
      <c r="R36" s="36" t="str">
        <f t="shared" si="2"/>
        <v>180</v>
      </c>
      <c r="S36" s="1">
        <v>32</v>
      </c>
    </row>
    <row r="37" spans="5:19" ht="23.25" customHeight="1" hidden="1">
      <c r="E37" s="55" t="s">
        <v>101</v>
      </c>
      <c r="F37" s="56"/>
      <c r="G37" s="59"/>
      <c r="H37" s="59"/>
      <c r="I37" s="59"/>
      <c r="J37" s="62"/>
      <c r="K37" s="62"/>
      <c r="L37" s="62"/>
      <c r="Q37" s="35" t="str">
        <f t="shared" si="3"/>
        <v>180°以上</v>
      </c>
      <c r="R37" s="36" t="str">
        <f t="shared" si="2"/>
        <v>180</v>
      </c>
      <c r="S37" s="1">
        <v>33</v>
      </c>
    </row>
    <row r="38" spans="5:19" ht="17.25" hidden="1">
      <c r="E38" s="55" t="s">
        <v>60</v>
      </c>
      <c r="I38" s="68"/>
      <c r="J38" s="61"/>
      <c r="K38" s="61"/>
      <c r="L38" s="61"/>
      <c r="Q38" s="35" t="str">
        <f t="shared" si="3"/>
        <v>180°以上</v>
      </c>
      <c r="R38" s="36" t="str">
        <f t="shared" si="2"/>
        <v>180</v>
      </c>
      <c r="S38" s="1">
        <v>34</v>
      </c>
    </row>
    <row r="39" spans="5:19" ht="31.5" customHeight="1" hidden="1" thickBot="1">
      <c r="E39" s="55"/>
      <c r="I39" s="68"/>
      <c r="J39" s="61"/>
      <c r="K39" s="61"/>
      <c r="L39" s="61"/>
      <c r="Q39" s="35" t="str">
        <f t="shared" si="3"/>
        <v>180°以上</v>
      </c>
      <c r="R39" s="36" t="str">
        <f t="shared" si="2"/>
        <v>180</v>
      </c>
      <c r="S39" s="1">
        <v>35</v>
      </c>
    </row>
    <row r="40" spans="5:19" ht="33.75" customHeight="1" hidden="1" thickBot="1" thickTop="1">
      <c r="E40" s="59"/>
      <c r="F40" s="82" t="s">
        <v>77</v>
      </c>
      <c r="G40" s="83"/>
      <c r="H40" s="32">
        <f>IF($D$2="","",IF(D5="","",IF($D$6="",$D$5+25,$D$5+$D$6)))</f>
        <v>68</v>
      </c>
      <c r="I40" s="84" t="s">
        <v>89</v>
      </c>
      <c r="J40" s="85"/>
      <c r="K40" s="85"/>
      <c r="L40" s="85"/>
      <c r="M40" s="85"/>
      <c r="N40" s="85"/>
      <c r="Q40" s="35" t="str">
        <f t="shared" si="3"/>
        <v>180°以上</v>
      </c>
      <c r="R40" s="36" t="str">
        <f t="shared" si="2"/>
        <v>180</v>
      </c>
      <c r="S40" s="1">
        <v>36</v>
      </c>
    </row>
    <row r="41" spans="5:19" ht="31.5" customHeight="1" hidden="1" thickBot="1" thickTop="1">
      <c r="E41" s="59"/>
      <c r="F41" s="82" t="s">
        <v>78</v>
      </c>
      <c r="G41" s="83"/>
      <c r="H41" s="69">
        <f>IF($D$2="","",VLOOKUP($D$2,'12_GP_M120 '!$V$2:$AM$2,4,FALSE))</f>
        <v>45</v>
      </c>
      <c r="I41" s="84" t="s">
        <v>70</v>
      </c>
      <c r="J41" s="85"/>
      <c r="K41" s="85"/>
      <c r="L41" s="85"/>
      <c r="M41" s="85"/>
      <c r="N41" s="85"/>
      <c r="Q41" s="35" t="str">
        <f t="shared" si="3"/>
        <v>180°以上</v>
      </c>
      <c r="R41" s="36" t="str">
        <f t="shared" si="2"/>
        <v>180</v>
      </c>
      <c r="S41" s="1">
        <v>37</v>
      </c>
    </row>
    <row r="42" spans="5:19" ht="31.5" customHeight="1" hidden="1" thickBot="1" thickTop="1">
      <c r="E42" s="59"/>
      <c r="F42" s="82" t="s">
        <v>79</v>
      </c>
      <c r="G42" s="83"/>
      <c r="H42" s="69">
        <f>IF($D$2="","",$H$64)</f>
        <v>218</v>
      </c>
      <c r="I42" s="94" t="s">
        <v>93</v>
      </c>
      <c r="J42" s="85"/>
      <c r="K42" s="85"/>
      <c r="L42" s="85"/>
      <c r="M42" s="85"/>
      <c r="N42" s="85"/>
      <c r="O42" s="68"/>
      <c r="Q42" s="35" t="str">
        <f t="shared" si="3"/>
        <v>180°以上</v>
      </c>
      <c r="R42" s="36" t="str">
        <f t="shared" si="2"/>
        <v>180</v>
      </c>
      <c r="S42" s="1">
        <v>38</v>
      </c>
    </row>
    <row r="43" spans="6:19" ht="31.5" customHeight="1" hidden="1" thickBot="1" thickTop="1">
      <c r="F43" s="82" t="s">
        <v>95</v>
      </c>
      <c r="G43" s="83"/>
      <c r="H43" s="70">
        <f>IF($D$2="","",IF($D$7="",VLOOKUP($D$2,'12_GP_M120 '!$V$2:$AM$2,10,FALSE),$D$7))</f>
        <v>4</v>
      </c>
      <c r="I43" s="84" t="s">
        <v>70</v>
      </c>
      <c r="J43" s="85"/>
      <c r="K43" s="85"/>
      <c r="L43" s="85"/>
      <c r="M43" s="85"/>
      <c r="N43" s="85"/>
      <c r="Q43" s="35" t="str">
        <f t="shared" si="3"/>
        <v>180°以上</v>
      </c>
      <c r="R43" s="36" t="str">
        <f t="shared" si="2"/>
        <v>180</v>
      </c>
      <c r="S43" s="1">
        <v>39</v>
      </c>
    </row>
    <row r="44" spans="6:19" ht="31.5" customHeight="1" hidden="1" thickBot="1" thickTop="1">
      <c r="F44" s="82" t="s">
        <v>82</v>
      </c>
      <c r="G44" s="83"/>
      <c r="H44" s="69">
        <f>IF($D$2="","",VLOOKUP($D$2,'12_GP_M120 '!$V$2:$AM$2,7,FALSE))</f>
        <v>30</v>
      </c>
      <c r="I44" s="84" t="s">
        <v>94</v>
      </c>
      <c r="J44" s="85"/>
      <c r="K44" s="85"/>
      <c r="L44" s="85"/>
      <c r="M44" s="85"/>
      <c r="N44" s="85"/>
      <c r="Q44" s="35" t="str">
        <f t="shared" si="3"/>
        <v>180°以上</v>
      </c>
      <c r="R44" s="36" t="str">
        <f t="shared" si="2"/>
        <v>180</v>
      </c>
      <c r="S44" s="1">
        <v>40</v>
      </c>
    </row>
    <row r="45" spans="6:19" ht="31.5" customHeight="1" hidden="1" thickBot="1" thickTop="1">
      <c r="F45" s="82" t="s">
        <v>5</v>
      </c>
      <c r="G45" s="83"/>
      <c r="H45" s="71">
        <f>IF($D$2="","",VLOOKUP($D$2,'12_GP_M120 '!$V$2:$AM$2,11,FALSE))</f>
        <v>263</v>
      </c>
      <c r="I45" s="84" t="s">
        <v>97</v>
      </c>
      <c r="J45" s="85"/>
      <c r="K45" s="85"/>
      <c r="L45" s="85"/>
      <c r="M45" s="85"/>
      <c r="N45" s="85"/>
      <c r="Q45" s="35" t="str">
        <f t="shared" si="3"/>
        <v>180°以上</v>
      </c>
      <c r="R45" s="36" t="str">
        <f t="shared" si="2"/>
        <v>180</v>
      </c>
      <c r="S45" s="1">
        <v>41</v>
      </c>
    </row>
    <row r="46" spans="5:19" ht="31.5" customHeight="1" hidden="1" thickBot="1" thickTop="1">
      <c r="E46" s="59"/>
      <c r="F46" s="82" t="s">
        <v>118</v>
      </c>
      <c r="G46" s="83"/>
      <c r="H46" s="37">
        <f>IF(H44="","",H41+(H63^2-(H61-H44)^2)^(1/2))</f>
        <v>262.66028576660466</v>
      </c>
      <c r="I46" s="84" t="s">
        <v>99</v>
      </c>
      <c r="J46" s="85"/>
      <c r="K46" s="85"/>
      <c r="L46" s="85"/>
      <c r="M46" s="85"/>
      <c r="N46" s="85"/>
      <c r="Q46" s="35" t="str">
        <f t="shared" si="3"/>
        <v>180°以上</v>
      </c>
      <c r="R46" s="36" t="str">
        <f t="shared" si="2"/>
        <v>180</v>
      </c>
      <c r="S46" s="1">
        <v>42</v>
      </c>
    </row>
    <row r="47" spans="5:19" ht="31.5" customHeight="1" hidden="1" thickBot="1" thickTop="1">
      <c r="E47" s="59"/>
      <c r="F47" s="90">
        <f>IF(D2="","",IF(OR(H63-(H41^2+(H61-H44)^2)^(0.5)&gt;H45,((H61-H44-H63*SIN(J47*PI()/180))^2+(H41+H63*COS(J47*PI()/180))^2)^0.5&lt;H45),"上記Ｒの値では取付できません",""))</f>
      </c>
      <c r="G47" s="90"/>
      <c r="H47" s="90"/>
      <c r="I47" s="81" t="s">
        <v>123</v>
      </c>
      <c r="J47" s="73">
        <v>6</v>
      </c>
      <c r="K47" s="93" t="s">
        <v>26</v>
      </c>
      <c r="L47" s="93"/>
      <c r="M47" s="93"/>
      <c r="N47" s="73"/>
      <c r="Q47" s="35" t="str">
        <f t="shared" si="3"/>
        <v>180°以上</v>
      </c>
      <c r="R47" s="36" t="str">
        <f t="shared" si="2"/>
        <v>180</v>
      </c>
      <c r="S47" s="1">
        <v>43</v>
      </c>
    </row>
    <row r="48" spans="5:19" ht="34.5" customHeight="1" hidden="1" thickBot="1" thickTop="1">
      <c r="E48" s="59"/>
      <c r="I48" s="84" t="s">
        <v>98</v>
      </c>
      <c r="J48" s="85"/>
      <c r="K48" s="85"/>
      <c r="L48" s="85"/>
      <c r="M48" s="85"/>
      <c r="N48" s="85"/>
      <c r="Q48" s="35" t="str">
        <f t="shared" si="3"/>
        <v>180°以上</v>
      </c>
      <c r="R48" s="36" t="str">
        <f t="shared" si="2"/>
        <v>180</v>
      </c>
      <c r="S48" s="1">
        <v>44</v>
      </c>
    </row>
    <row r="49" spans="5:19" ht="34.5" customHeight="1" hidden="1" thickBot="1" thickTop="1">
      <c r="E49" s="59"/>
      <c r="F49" s="91">
        <f>IF(H45="","",IF(D3="取付不可","",IF(OR(L20&gt;180,AND(D3&gt;N14,(N19-90)&gt;N16)),"リンクまたはｱｰﾑが扉に接触します","")))</f>
      </c>
      <c r="G49" s="91"/>
      <c r="H49" s="91"/>
      <c r="I49" s="92" t="s">
        <v>96</v>
      </c>
      <c r="J49" s="85"/>
      <c r="K49" s="85"/>
      <c r="L49" s="85"/>
      <c r="M49" s="85"/>
      <c r="N49" s="85"/>
      <c r="Q49" s="35" t="str">
        <f t="shared" si="3"/>
        <v>180°以上</v>
      </c>
      <c r="R49" s="36" t="str">
        <f t="shared" si="2"/>
        <v>180</v>
      </c>
      <c r="S49" s="1">
        <v>45</v>
      </c>
    </row>
    <row r="50" spans="5:19" ht="32.25" customHeight="1" hidden="1" thickBot="1" thickTop="1">
      <c r="E50" s="59"/>
      <c r="F50" s="82" t="s">
        <v>31</v>
      </c>
      <c r="G50" s="83"/>
      <c r="H50" s="72">
        <f>IF(H45="","",L20)</f>
        <v>176.41327413794852</v>
      </c>
      <c r="Q50" s="35" t="str">
        <f t="shared" si="3"/>
        <v>180°以上</v>
      </c>
      <c r="R50" s="36" t="str">
        <f t="shared" si="2"/>
        <v>180</v>
      </c>
      <c r="S50" s="1">
        <v>46</v>
      </c>
    </row>
    <row r="51" spans="5:19" ht="30.75" customHeight="1" hidden="1" thickTop="1">
      <c r="E51" s="59"/>
      <c r="Q51" s="35" t="str">
        <f t="shared" si="3"/>
        <v>180°以上</v>
      </c>
      <c r="R51" s="36" t="str">
        <f t="shared" si="2"/>
        <v>180</v>
      </c>
      <c r="S51" s="1">
        <v>47</v>
      </c>
    </row>
    <row r="52" spans="5:19" ht="31.5" customHeight="1" hidden="1">
      <c r="E52" s="59"/>
      <c r="Q52" s="35" t="str">
        <f t="shared" si="3"/>
        <v>180°以上</v>
      </c>
      <c r="R52" s="36" t="str">
        <f t="shared" si="2"/>
        <v>180</v>
      </c>
      <c r="S52" s="1">
        <v>48</v>
      </c>
    </row>
    <row r="53" spans="5:19" ht="29.25" customHeight="1" hidden="1" thickBot="1">
      <c r="E53" s="59"/>
      <c r="F53" s="59"/>
      <c r="G53" s="59"/>
      <c r="H53" s="59"/>
      <c r="I53" s="73"/>
      <c r="J53" s="73"/>
      <c r="K53" s="73"/>
      <c r="L53" s="73"/>
      <c r="M53" s="73"/>
      <c r="N53" s="73"/>
      <c r="Q53" s="35" t="str">
        <f t="shared" si="3"/>
        <v>180°以上</v>
      </c>
      <c r="R53" s="36" t="str">
        <f t="shared" si="2"/>
        <v>180</v>
      </c>
      <c r="S53" s="1">
        <v>49</v>
      </c>
    </row>
    <row r="54" spans="5:19" ht="31.5" customHeight="1" hidden="1" thickBot="1" thickTop="1">
      <c r="E54" s="59"/>
      <c r="F54" s="82" t="s">
        <v>102</v>
      </c>
      <c r="G54" s="83"/>
      <c r="H54" s="79">
        <f>IF(H42="","",H42+H41-53)</f>
        <v>210</v>
      </c>
      <c r="I54" s="84" t="s">
        <v>51</v>
      </c>
      <c r="J54" s="85"/>
      <c r="K54" s="85"/>
      <c r="L54" s="85"/>
      <c r="M54" s="85"/>
      <c r="N54" s="85"/>
      <c r="Q54" s="35" t="str">
        <f t="shared" si="3"/>
        <v>180°以上</v>
      </c>
      <c r="R54" s="36" t="str">
        <f t="shared" si="2"/>
        <v>180</v>
      </c>
      <c r="S54" s="1">
        <v>50</v>
      </c>
    </row>
    <row r="55" spans="5:19" ht="31.5" customHeight="1" hidden="1" thickBot="1" thickTop="1">
      <c r="E55" s="59"/>
      <c r="F55" s="82" t="s">
        <v>103</v>
      </c>
      <c r="G55" s="83"/>
      <c r="H55" s="74">
        <f>IF($D$2="","",VLOOKUP($D$2,'12_GP_M120 '!$V$2:$AM$2,13,FALSE))</f>
        <v>190</v>
      </c>
      <c r="I55" s="84" t="s">
        <v>50</v>
      </c>
      <c r="J55" s="85"/>
      <c r="K55" s="85"/>
      <c r="L55" s="85"/>
      <c r="M55" s="85"/>
      <c r="N55" s="85"/>
      <c r="Q55" s="35" t="str">
        <f t="shared" si="3"/>
        <v>180°以上</v>
      </c>
      <c r="R55" s="36" t="str">
        <f t="shared" si="2"/>
        <v>180</v>
      </c>
      <c r="S55" s="1">
        <v>51</v>
      </c>
    </row>
    <row r="56" spans="5:19" ht="31.5" customHeight="1" hidden="1" thickBot="1" thickTop="1">
      <c r="E56" s="59"/>
      <c r="F56" s="82" t="s">
        <v>104</v>
      </c>
      <c r="G56" s="83"/>
      <c r="H56" s="74">
        <f>IF($H$42="","",H42-H57/2)</f>
        <v>180</v>
      </c>
      <c r="I56" s="84" t="s">
        <v>52</v>
      </c>
      <c r="J56" s="85"/>
      <c r="K56" s="85"/>
      <c r="L56" s="85"/>
      <c r="M56" s="85"/>
      <c r="N56" s="85"/>
      <c r="Q56" s="35" t="str">
        <f t="shared" si="3"/>
        <v>180°以上</v>
      </c>
      <c r="R56" s="36" t="str">
        <f t="shared" si="2"/>
        <v>180</v>
      </c>
      <c r="S56" s="1">
        <v>52</v>
      </c>
    </row>
    <row r="57" spans="5:19" ht="31.5" customHeight="1" hidden="1" thickBot="1" thickTop="1">
      <c r="E57" s="59"/>
      <c r="F57" s="82" t="s">
        <v>105</v>
      </c>
      <c r="G57" s="83"/>
      <c r="H57" s="74">
        <f>IF($D$2="","",VLOOKUP($D$2,'12_GP_M120 '!$V$2:$AM$2,15,FALSE))</f>
        <v>76</v>
      </c>
      <c r="I57" s="84" t="s">
        <v>53</v>
      </c>
      <c r="J57" s="85"/>
      <c r="K57" s="85"/>
      <c r="L57" s="85"/>
      <c r="M57" s="85"/>
      <c r="N57" s="85"/>
      <c r="Q57" s="35" t="str">
        <f t="shared" si="3"/>
        <v>180°以上</v>
      </c>
      <c r="R57" s="36" t="str">
        <f t="shared" si="2"/>
        <v>180</v>
      </c>
      <c r="S57" s="1">
        <v>53</v>
      </c>
    </row>
    <row r="58" spans="5:19" ht="31.5" customHeight="1" hidden="1" thickBot="1" thickTop="1">
      <c r="E58" s="59"/>
      <c r="F58" s="82" t="s">
        <v>108</v>
      </c>
      <c r="G58" s="83"/>
      <c r="H58" s="74">
        <f>IF($D$2="","",VLOOKUP($D$2,'12_GP_M120 '!$V$2:$AM$2,16,FALSE))</f>
        <v>40</v>
      </c>
      <c r="I58" s="84" t="s">
        <v>54</v>
      </c>
      <c r="J58" s="85"/>
      <c r="K58" s="85"/>
      <c r="L58" s="85"/>
      <c r="M58" s="85"/>
      <c r="N58" s="85"/>
      <c r="Q58" s="35" t="str">
        <f t="shared" si="3"/>
        <v>180°以上</v>
      </c>
      <c r="R58" s="36" t="str">
        <f t="shared" si="2"/>
        <v>180</v>
      </c>
      <c r="S58" s="1">
        <v>54</v>
      </c>
    </row>
    <row r="59" spans="5:19" ht="31.5" customHeight="1" hidden="1" thickBot="1" thickTop="1">
      <c r="E59" s="59"/>
      <c r="F59" s="82" t="s">
        <v>109</v>
      </c>
      <c r="G59" s="83"/>
      <c r="H59" s="74">
        <f>IF($D$2="","",VLOOKUP($D$2,'12_GP_M120 '!$V$2:$AM$2,17,FALSE))</f>
        <v>7</v>
      </c>
      <c r="I59" s="84"/>
      <c r="J59" s="85"/>
      <c r="K59" s="85"/>
      <c r="L59" s="85"/>
      <c r="M59" s="85"/>
      <c r="N59" s="85"/>
      <c r="Q59" s="35" t="str">
        <f t="shared" si="3"/>
        <v>180°以上</v>
      </c>
      <c r="R59" s="36" t="str">
        <f t="shared" si="2"/>
        <v>180</v>
      </c>
      <c r="S59" s="1">
        <v>55</v>
      </c>
    </row>
    <row r="60" spans="5:19" ht="31.5" customHeight="1" hidden="1" thickBot="1" thickTop="1">
      <c r="E60" s="59"/>
      <c r="F60" s="82" t="s">
        <v>110</v>
      </c>
      <c r="G60" s="83"/>
      <c r="H60" s="74">
        <f>IF($D$2="","",VLOOKUP($D$2,'12_GP_M120 '!$V$2:$AM$2,18,FALSE))</f>
        <v>10</v>
      </c>
      <c r="I60" s="84"/>
      <c r="J60" s="85"/>
      <c r="K60" s="85"/>
      <c r="L60" s="85"/>
      <c r="M60" s="85"/>
      <c r="N60" s="85"/>
      <c r="Q60" s="35" t="str">
        <f t="shared" si="3"/>
        <v>180°以上</v>
      </c>
      <c r="R60" s="36" t="str">
        <f t="shared" si="2"/>
        <v>180</v>
      </c>
      <c r="S60" s="1">
        <v>56</v>
      </c>
    </row>
    <row r="61" spans="5:19" ht="18.75" hidden="1" thickBot="1" thickTop="1">
      <c r="E61" s="59"/>
      <c r="F61" s="82" t="s">
        <v>80</v>
      </c>
      <c r="G61" s="83"/>
      <c r="H61" s="69">
        <f>IF($H$62="","",$H$62+$H$43)</f>
        <v>62</v>
      </c>
      <c r="I61" s="84" t="s">
        <v>90</v>
      </c>
      <c r="J61" s="85"/>
      <c r="K61" s="85"/>
      <c r="L61" s="85"/>
      <c r="M61" s="85"/>
      <c r="N61" s="85"/>
      <c r="O61" s="75"/>
      <c r="Q61" s="35" t="str">
        <f t="shared" si="3"/>
        <v>180°以上</v>
      </c>
      <c r="R61" s="36" t="str">
        <f t="shared" si="2"/>
        <v>180</v>
      </c>
      <c r="S61" s="1">
        <v>57</v>
      </c>
    </row>
    <row r="62" spans="5:19" ht="28.5" customHeight="1" hidden="1" thickBot="1" thickTop="1">
      <c r="E62" s="59"/>
      <c r="F62" s="82" t="s">
        <v>81</v>
      </c>
      <c r="G62" s="83"/>
      <c r="H62" s="69">
        <f>IF($D$2="","",VLOOKUP($D$2,'12_GP_M120 '!$V$2:$AM$2,9,FALSE))</f>
        <v>58</v>
      </c>
      <c r="I62" s="84"/>
      <c r="J62" s="85"/>
      <c r="K62" s="85"/>
      <c r="L62" s="85"/>
      <c r="M62" s="85"/>
      <c r="N62" s="85"/>
      <c r="O62" s="68"/>
      <c r="Q62" s="35" t="str">
        <f t="shared" si="3"/>
        <v>180°以上</v>
      </c>
      <c r="R62" s="36" t="str">
        <f t="shared" si="2"/>
        <v>180</v>
      </c>
      <c r="S62" s="1">
        <v>58</v>
      </c>
    </row>
    <row r="63" spans="5:19" ht="28.5" customHeight="1" hidden="1" thickBot="1" thickTop="1">
      <c r="E63" s="59"/>
      <c r="F63" s="82" t="s">
        <v>6</v>
      </c>
      <c r="G63" s="83"/>
      <c r="H63" s="69">
        <f>IF($D$2="","",VLOOKUP($D$2,'12_GP_M120 '!$V$2:$AM$2,6,FALSE))</f>
        <v>220</v>
      </c>
      <c r="I63" s="84" t="s">
        <v>33</v>
      </c>
      <c r="J63" s="85"/>
      <c r="K63" s="85"/>
      <c r="L63" s="85"/>
      <c r="M63" s="85"/>
      <c r="N63" s="85"/>
      <c r="O63" s="75"/>
      <c r="Q63" s="35" t="str">
        <f t="shared" si="3"/>
        <v>180°以上</v>
      </c>
      <c r="R63" s="36" t="str">
        <f t="shared" si="2"/>
        <v>180</v>
      </c>
      <c r="S63" s="1">
        <v>59</v>
      </c>
    </row>
    <row r="64" spans="5:19" ht="28.5" customHeight="1" hidden="1" thickBot="1" thickTop="1">
      <c r="E64" s="59"/>
      <c r="F64" s="86" t="s">
        <v>29</v>
      </c>
      <c r="G64" s="87"/>
      <c r="H64" s="76">
        <f>_xlfn.IFERROR(IF(D9="","",IF(Q5="","",VLOOKUP(ROUND($D$9,0),R5:S504,2,FALSE)+1)),"")</f>
        <v>218</v>
      </c>
      <c r="I64" s="59"/>
      <c r="Q64" s="35" t="str">
        <f t="shared" si="3"/>
        <v>180°以上</v>
      </c>
      <c r="R64" s="36" t="str">
        <f t="shared" si="2"/>
        <v>180</v>
      </c>
      <c r="S64" s="1">
        <v>60</v>
      </c>
    </row>
    <row r="65" spans="5:19" ht="17.25">
      <c r="E65" s="59"/>
      <c r="F65" s="59"/>
      <c r="I65" s="59"/>
      <c r="O65" s="77" t="s">
        <v>34</v>
      </c>
      <c r="Q65" s="35" t="str">
        <f t="shared" si="3"/>
        <v>180°以上</v>
      </c>
      <c r="R65" s="36" t="str">
        <f t="shared" si="2"/>
        <v>180</v>
      </c>
      <c r="S65" s="1">
        <v>61</v>
      </c>
    </row>
    <row r="66" spans="5:19" ht="17.25">
      <c r="E66" s="59"/>
      <c r="I66" s="59"/>
      <c r="Q66" s="35" t="str">
        <f t="shared" si="3"/>
        <v>180°以上</v>
      </c>
      <c r="R66" s="36" t="str">
        <f t="shared" si="2"/>
        <v>180</v>
      </c>
      <c r="S66" s="1">
        <v>62</v>
      </c>
    </row>
    <row r="67" spans="5:19" ht="17.25">
      <c r="E67" s="59"/>
      <c r="I67" s="59"/>
      <c r="Q67" s="35" t="str">
        <f t="shared" si="3"/>
        <v>180°以上</v>
      </c>
      <c r="R67" s="36" t="str">
        <f t="shared" si="2"/>
        <v>180</v>
      </c>
      <c r="S67" s="1">
        <v>63</v>
      </c>
    </row>
    <row r="68" spans="17:19" ht="13.5">
      <c r="Q68" s="35" t="str">
        <f t="shared" si="3"/>
        <v>180°以上</v>
      </c>
      <c r="R68" s="36" t="str">
        <f t="shared" si="2"/>
        <v>180</v>
      </c>
      <c r="S68" s="1">
        <v>64</v>
      </c>
    </row>
    <row r="69" spans="17:19" ht="13.5">
      <c r="Q69" s="35" t="str">
        <f t="shared" si="3"/>
        <v>180°以上</v>
      </c>
      <c r="R69" s="36" t="str">
        <f t="shared" si="2"/>
        <v>180</v>
      </c>
      <c r="S69" s="1">
        <v>65</v>
      </c>
    </row>
    <row r="70" spans="17:19" ht="13.5">
      <c r="Q70" s="35" t="str">
        <f t="shared" si="3"/>
        <v>180°以上</v>
      </c>
      <c r="R70" s="36" t="str">
        <f t="shared" si="2"/>
        <v>180</v>
      </c>
      <c r="S70" s="1">
        <v>66</v>
      </c>
    </row>
    <row r="71" spans="17:19" ht="13.5">
      <c r="Q71" s="35" t="str">
        <f t="shared" si="3"/>
        <v>180°以上</v>
      </c>
      <c r="R71" s="36" t="str">
        <f t="shared" si="2"/>
        <v>180</v>
      </c>
      <c r="S71" s="1">
        <v>67</v>
      </c>
    </row>
    <row r="72" spans="17:19" ht="13.5">
      <c r="Q72" s="35" t="str">
        <f t="shared" si="3"/>
        <v>180°以上</v>
      </c>
      <c r="R72" s="36" t="str">
        <f t="shared" si="2"/>
        <v>180</v>
      </c>
      <c r="S72" s="1">
        <v>68</v>
      </c>
    </row>
    <row r="73" spans="17:19" ht="13.5">
      <c r="Q73" s="35" t="str">
        <f t="shared" si="3"/>
        <v>180°以上</v>
      </c>
      <c r="R73" s="36" t="str">
        <f t="shared" si="2"/>
        <v>180</v>
      </c>
      <c r="S73" s="1">
        <v>69</v>
      </c>
    </row>
    <row r="74" spans="17:19" ht="13.5">
      <c r="Q74" s="35" t="str">
        <f t="shared" si="3"/>
        <v>180°以上</v>
      </c>
      <c r="R74" s="36" t="str">
        <f t="shared" si="2"/>
        <v>180</v>
      </c>
      <c r="S74" s="1">
        <v>70</v>
      </c>
    </row>
    <row r="75" spans="17:19" ht="13.5">
      <c r="Q75" s="35" t="str">
        <f t="shared" si="3"/>
        <v>180°以上</v>
      </c>
      <c r="R75" s="36" t="str">
        <f t="shared" si="2"/>
        <v>180</v>
      </c>
      <c r="S75" s="1">
        <v>71</v>
      </c>
    </row>
    <row r="76" spans="17:19" ht="13.5">
      <c r="Q76" s="35" t="str">
        <f t="shared" si="3"/>
        <v>180°以上</v>
      </c>
      <c r="R76" s="36" t="str">
        <f t="shared" si="2"/>
        <v>180</v>
      </c>
      <c r="S76" s="1">
        <v>72</v>
      </c>
    </row>
    <row r="77" spans="17:19" ht="13.5">
      <c r="Q77" s="35" t="str">
        <f t="shared" si="3"/>
        <v>180°以上</v>
      </c>
      <c r="R77" s="36" t="str">
        <f t="shared" si="2"/>
        <v>180</v>
      </c>
      <c r="S77" s="1">
        <v>73</v>
      </c>
    </row>
    <row r="78" spans="17:19" ht="13.5">
      <c r="Q78" s="35" t="str">
        <f t="shared" si="3"/>
        <v>180°以上</v>
      </c>
      <c r="R78" s="36" t="str">
        <f t="shared" si="2"/>
        <v>180</v>
      </c>
      <c r="S78" s="1">
        <v>74</v>
      </c>
    </row>
    <row r="79" spans="17:19" ht="13.5">
      <c r="Q79" s="35" t="str">
        <f t="shared" si="3"/>
        <v>180°以上</v>
      </c>
      <c r="R79" s="36" t="str">
        <f t="shared" si="2"/>
        <v>180</v>
      </c>
      <c r="S79" s="1">
        <v>75</v>
      </c>
    </row>
    <row r="80" spans="17:19" ht="13.5">
      <c r="Q80" s="35" t="str">
        <f t="shared" si="3"/>
        <v>180°以上</v>
      </c>
      <c r="R80" s="36" t="str">
        <f t="shared" si="2"/>
        <v>180</v>
      </c>
      <c r="S80" s="1">
        <v>76</v>
      </c>
    </row>
    <row r="81" spans="17:19" ht="13.5">
      <c r="Q81" s="35" t="str">
        <f t="shared" si="3"/>
        <v>180°以上</v>
      </c>
      <c r="R81" s="36" t="str">
        <f t="shared" si="2"/>
        <v>180</v>
      </c>
      <c r="S81" s="1">
        <v>77</v>
      </c>
    </row>
    <row r="82" spans="17:19" ht="13.5">
      <c r="Q82" s="35" t="str">
        <f t="shared" si="3"/>
        <v>180°以上</v>
      </c>
      <c r="R82" s="36" t="str">
        <f t="shared" si="2"/>
        <v>180</v>
      </c>
      <c r="S82" s="1">
        <v>78</v>
      </c>
    </row>
    <row r="83" spans="17:19" ht="13.5">
      <c r="Q83" s="35" t="str">
        <f t="shared" si="3"/>
        <v>180°以上</v>
      </c>
      <c r="R83" s="36" t="str">
        <f t="shared" si="2"/>
        <v>180</v>
      </c>
      <c r="S83" s="1">
        <v>79</v>
      </c>
    </row>
    <row r="84" spans="17:19" ht="13.5">
      <c r="Q84" s="35" t="str">
        <f t="shared" si="3"/>
        <v>180°以上</v>
      </c>
      <c r="R84" s="36" t="str">
        <f t="shared" si="2"/>
        <v>180</v>
      </c>
      <c r="S84" s="1">
        <v>80</v>
      </c>
    </row>
    <row r="85" spans="17:19" ht="13.5">
      <c r="Q85" s="35" t="str">
        <f t="shared" si="3"/>
        <v>180°以上</v>
      </c>
      <c r="R85" s="36" t="str">
        <f t="shared" si="2"/>
        <v>180</v>
      </c>
      <c r="S85" s="1">
        <v>81</v>
      </c>
    </row>
    <row r="86" spans="17:19" ht="13.5">
      <c r="Q86" s="35" t="str">
        <f t="shared" si="3"/>
        <v>180°以上</v>
      </c>
      <c r="R86" s="36" t="str">
        <f t="shared" si="2"/>
        <v>180</v>
      </c>
      <c r="S86" s="1">
        <v>82</v>
      </c>
    </row>
    <row r="87" spans="17:19" ht="13.5">
      <c r="Q87" s="35" t="str">
        <f t="shared" si="3"/>
        <v>180°以上</v>
      </c>
      <c r="R87" s="36" t="str">
        <f t="shared" si="2"/>
        <v>180</v>
      </c>
      <c r="S87" s="1">
        <v>83</v>
      </c>
    </row>
    <row r="88" spans="17:19" ht="13.5">
      <c r="Q88" s="35" t="str">
        <f t="shared" si="3"/>
        <v>180°以上</v>
      </c>
      <c r="R88" s="36" t="str">
        <f t="shared" si="2"/>
        <v>180</v>
      </c>
      <c r="S88" s="1">
        <v>84</v>
      </c>
    </row>
    <row r="89" spans="17:19" ht="13.5">
      <c r="Q89" s="35" t="str">
        <f t="shared" si="3"/>
        <v>180°以上</v>
      </c>
      <c r="R89" s="36" t="str">
        <f t="shared" si="2"/>
        <v>180</v>
      </c>
      <c r="S89" s="1">
        <v>85</v>
      </c>
    </row>
    <row r="90" spans="17:19" ht="13.5">
      <c r="Q90" s="35" t="str">
        <f t="shared" si="3"/>
        <v>180°以上</v>
      </c>
      <c r="R90" s="36" t="str">
        <f t="shared" si="2"/>
        <v>180</v>
      </c>
      <c r="S90" s="1">
        <v>86</v>
      </c>
    </row>
    <row r="91" spans="17:19" ht="13.5">
      <c r="Q91" s="35" t="str">
        <f t="shared" si="3"/>
        <v>180°以上</v>
      </c>
      <c r="R91" s="36" t="str">
        <f t="shared" si="2"/>
        <v>180</v>
      </c>
      <c r="S91" s="1">
        <v>87</v>
      </c>
    </row>
    <row r="92" spans="17:19" ht="13.5">
      <c r="Q92" s="35" t="str">
        <f t="shared" si="3"/>
        <v>180°以上</v>
      </c>
      <c r="R92" s="36" t="str">
        <f t="shared" si="2"/>
        <v>180</v>
      </c>
      <c r="S92" s="1">
        <v>88</v>
      </c>
    </row>
    <row r="93" spans="17:19" ht="13.5">
      <c r="Q93" s="35" t="str">
        <f t="shared" si="3"/>
        <v>180°以上</v>
      </c>
      <c r="R93" s="36" t="str">
        <f t="shared" si="2"/>
        <v>180</v>
      </c>
      <c r="S93" s="1">
        <v>89</v>
      </c>
    </row>
    <row r="94" spans="17:19" ht="13.5">
      <c r="Q94" s="35" t="str">
        <f t="shared" si="3"/>
        <v>180°以上</v>
      </c>
      <c r="R94" s="36" t="str">
        <f t="shared" si="2"/>
        <v>180</v>
      </c>
      <c r="S94" s="1">
        <v>90</v>
      </c>
    </row>
    <row r="95" spans="17:19" ht="13.5">
      <c r="Q95" s="35" t="str">
        <f t="shared" si="3"/>
        <v>180°以上</v>
      </c>
      <c r="R95" s="36" t="str">
        <f t="shared" si="2"/>
        <v>180</v>
      </c>
      <c r="S95" s="1">
        <v>91</v>
      </c>
    </row>
    <row r="96" spans="17:19" ht="13.5">
      <c r="Q96" s="35" t="str">
        <f t="shared" si="3"/>
        <v>180°以上</v>
      </c>
      <c r="R96" s="36" t="str">
        <f t="shared" si="2"/>
        <v>180</v>
      </c>
      <c r="S96" s="1">
        <v>92</v>
      </c>
    </row>
    <row r="97" spans="17:19" ht="13.5">
      <c r="Q97" s="35" t="str">
        <f t="shared" si="3"/>
        <v>180°以上</v>
      </c>
      <c r="R97" s="36" t="str">
        <f t="shared" si="2"/>
        <v>180</v>
      </c>
      <c r="S97" s="1">
        <v>93</v>
      </c>
    </row>
    <row r="98" spans="17:19" ht="13.5">
      <c r="Q98" s="35" t="str">
        <f t="shared" si="3"/>
        <v>180°以上</v>
      </c>
      <c r="R98" s="36" t="str">
        <f t="shared" si="2"/>
        <v>180</v>
      </c>
      <c r="S98" s="1">
        <v>94</v>
      </c>
    </row>
    <row r="99" spans="17:19" ht="13.5">
      <c r="Q99" s="35" t="str">
        <f t="shared" si="3"/>
        <v>180°以上</v>
      </c>
      <c r="R99" s="36" t="str">
        <f aca="true" t="shared" si="4" ref="R99:R162">IF(Q100="","",IF(Q100="180°以上","180",ROUND(Q100,0)))</f>
        <v>180</v>
      </c>
      <c r="S99" s="1">
        <v>95</v>
      </c>
    </row>
    <row r="100" spans="17:19" ht="13.5">
      <c r="Q100" s="35" t="str">
        <f aca="true" t="shared" si="5" ref="Q100:Q163">IF(OR($H$45="",$H$40="",$H$41="",$H$63="",$H$61="",$H$44=""),"",IF($F$47="上記Ｒの値では取付できません","取付不可",IF(((($H$41+S98)^2+($H$40+$H$44)^2)^0.5+(((S98)^2+($H$40+$H$61)^2)^0.5))&lt;($H$63+$H$45),"180°以上",(ACOS((((($H$41+S98)^2+($H$40+$H$44)^2)^0.5)^2+(((S98)^2+($H$40+$H$61)^2)^0.5)^2-($H$63+$H$45)^2)/(2*((($H$41+S98)^2+($H$40+$H$44)^2)^0.5)*(((S98)^2+($H$40+$H$61)^2)^0.5)))-(ACOS(S98/(((S98)^2+($H$40+$H$61)^2)^0.5)))+(ACOS(($H$41+S98)/((($H$41+S98)^2+($H$40+$H$44)^2)^0.5))))*180/PI())))</f>
        <v>180°以上</v>
      </c>
      <c r="R100" s="36" t="str">
        <f t="shared" si="4"/>
        <v>180</v>
      </c>
      <c r="S100" s="1">
        <v>96</v>
      </c>
    </row>
    <row r="101" spans="17:19" ht="13.5">
      <c r="Q101" s="35" t="str">
        <f t="shared" si="5"/>
        <v>180°以上</v>
      </c>
      <c r="R101" s="36" t="str">
        <f t="shared" si="4"/>
        <v>180</v>
      </c>
      <c r="S101" s="1">
        <v>97</v>
      </c>
    </row>
    <row r="102" spans="17:19" ht="13.5">
      <c r="Q102" s="35" t="str">
        <f t="shared" si="5"/>
        <v>180°以上</v>
      </c>
      <c r="R102" s="36" t="str">
        <f t="shared" si="4"/>
        <v>180</v>
      </c>
      <c r="S102" s="1">
        <v>98</v>
      </c>
    </row>
    <row r="103" spans="17:19" ht="13.5">
      <c r="Q103" s="35" t="str">
        <f t="shared" si="5"/>
        <v>180°以上</v>
      </c>
      <c r="R103" s="36" t="str">
        <f t="shared" si="4"/>
        <v>180</v>
      </c>
      <c r="S103" s="1">
        <v>99</v>
      </c>
    </row>
    <row r="104" spans="17:19" ht="13.5">
      <c r="Q104" s="35" t="str">
        <f t="shared" si="5"/>
        <v>180°以上</v>
      </c>
      <c r="R104" s="36" t="str">
        <f t="shared" si="4"/>
        <v>180</v>
      </c>
      <c r="S104" s="1">
        <v>100</v>
      </c>
    </row>
    <row r="105" spans="17:19" ht="13.5">
      <c r="Q105" s="35" t="str">
        <f t="shared" si="5"/>
        <v>180°以上</v>
      </c>
      <c r="R105" s="36" t="str">
        <f t="shared" si="4"/>
        <v>180</v>
      </c>
      <c r="S105" s="1">
        <v>101</v>
      </c>
    </row>
    <row r="106" spans="17:19" ht="13.5">
      <c r="Q106" s="35" t="str">
        <f t="shared" si="5"/>
        <v>180°以上</v>
      </c>
      <c r="R106" s="36" t="str">
        <f t="shared" si="4"/>
        <v>180</v>
      </c>
      <c r="S106" s="1">
        <v>102</v>
      </c>
    </row>
    <row r="107" spans="17:19" ht="13.5">
      <c r="Q107" s="35" t="str">
        <f t="shared" si="5"/>
        <v>180°以上</v>
      </c>
      <c r="R107" s="36" t="str">
        <f t="shared" si="4"/>
        <v>180</v>
      </c>
      <c r="S107" s="1">
        <v>103</v>
      </c>
    </row>
    <row r="108" spans="17:19" ht="13.5">
      <c r="Q108" s="35" t="str">
        <f t="shared" si="5"/>
        <v>180°以上</v>
      </c>
      <c r="R108" s="36" t="str">
        <f t="shared" si="4"/>
        <v>180</v>
      </c>
      <c r="S108" s="1">
        <v>104</v>
      </c>
    </row>
    <row r="109" spans="17:19" ht="13.5">
      <c r="Q109" s="35" t="str">
        <f t="shared" si="5"/>
        <v>180°以上</v>
      </c>
      <c r="R109" s="36" t="str">
        <f t="shared" si="4"/>
        <v>180</v>
      </c>
      <c r="S109" s="1">
        <v>105</v>
      </c>
    </row>
    <row r="110" spans="17:19" ht="13.5">
      <c r="Q110" s="35" t="str">
        <f t="shared" si="5"/>
        <v>180°以上</v>
      </c>
      <c r="R110" s="36" t="str">
        <f t="shared" si="4"/>
        <v>180</v>
      </c>
      <c r="S110" s="1">
        <v>106</v>
      </c>
    </row>
    <row r="111" spans="17:19" ht="13.5">
      <c r="Q111" s="35" t="str">
        <f t="shared" si="5"/>
        <v>180°以上</v>
      </c>
      <c r="R111" s="36" t="str">
        <f t="shared" si="4"/>
        <v>180</v>
      </c>
      <c r="S111" s="1">
        <v>107</v>
      </c>
    </row>
    <row r="112" spans="17:19" ht="13.5">
      <c r="Q112" s="35" t="str">
        <f t="shared" si="5"/>
        <v>180°以上</v>
      </c>
      <c r="R112" s="36" t="str">
        <f t="shared" si="4"/>
        <v>180</v>
      </c>
      <c r="S112" s="1">
        <v>108</v>
      </c>
    </row>
    <row r="113" spans="17:19" ht="13.5">
      <c r="Q113" s="35" t="str">
        <f t="shared" si="5"/>
        <v>180°以上</v>
      </c>
      <c r="R113" s="36" t="str">
        <f t="shared" si="4"/>
        <v>180</v>
      </c>
      <c r="S113" s="1">
        <v>109</v>
      </c>
    </row>
    <row r="114" spans="17:19" ht="13.5">
      <c r="Q114" s="35" t="str">
        <f t="shared" si="5"/>
        <v>180°以上</v>
      </c>
      <c r="R114" s="36" t="str">
        <f t="shared" si="4"/>
        <v>180</v>
      </c>
      <c r="S114" s="1">
        <v>110</v>
      </c>
    </row>
    <row r="115" spans="17:19" ht="13.5">
      <c r="Q115" s="35" t="str">
        <f t="shared" si="5"/>
        <v>180°以上</v>
      </c>
      <c r="R115" s="36" t="str">
        <f t="shared" si="4"/>
        <v>180</v>
      </c>
      <c r="S115" s="1">
        <v>111</v>
      </c>
    </row>
    <row r="116" spans="17:19" ht="13.5">
      <c r="Q116" s="35" t="str">
        <f t="shared" si="5"/>
        <v>180°以上</v>
      </c>
      <c r="R116" s="36" t="str">
        <f t="shared" si="4"/>
        <v>180</v>
      </c>
      <c r="S116" s="1">
        <v>112</v>
      </c>
    </row>
    <row r="117" spans="17:19" ht="13.5">
      <c r="Q117" s="35" t="str">
        <f t="shared" si="5"/>
        <v>180°以上</v>
      </c>
      <c r="R117" s="36" t="str">
        <f t="shared" si="4"/>
        <v>180</v>
      </c>
      <c r="S117" s="1">
        <v>113</v>
      </c>
    </row>
    <row r="118" spans="17:19" ht="13.5">
      <c r="Q118" s="35" t="str">
        <f t="shared" si="5"/>
        <v>180°以上</v>
      </c>
      <c r="R118" s="36" t="str">
        <f t="shared" si="4"/>
        <v>180</v>
      </c>
      <c r="S118" s="1">
        <v>114</v>
      </c>
    </row>
    <row r="119" spans="17:19" ht="13.5">
      <c r="Q119" s="35" t="str">
        <f t="shared" si="5"/>
        <v>180°以上</v>
      </c>
      <c r="R119" s="36" t="str">
        <f t="shared" si="4"/>
        <v>180</v>
      </c>
      <c r="S119" s="1">
        <v>115</v>
      </c>
    </row>
    <row r="120" spans="17:19" ht="13.5">
      <c r="Q120" s="35" t="str">
        <f t="shared" si="5"/>
        <v>180°以上</v>
      </c>
      <c r="R120" s="36" t="str">
        <f t="shared" si="4"/>
        <v>180</v>
      </c>
      <c r="S120" s="1">
        <v>116</v>
      </c>
    </row>
    <row r="121" spans="17:19" ht="13.5">
      <c r="Q121" s="35" t="str">
        <f t="shared" si="5"/>
        <v>180°以上</v>
      </c>
      <c r="R121" s="36" t="str">
        <f t="shared" si="4"/>
        <v>180</v>
      </c>
      <c r="S121" s="1">
        <v>117</v>
      </c>
    </row>
    <row r="122" spans="17:19" ht="13.5">
      <c r="Q122" s="35" t="str">
        <f t="shared" si="5"/>
        <v>180°以上</v>
      </c>
      <c r="R122" s="36" t="str">
        <f t="shared" si="4"/>
        <v>180</v>
      </c>
      <c r="S122" s="1">
        <v>118</v>
      </c>
    </row>
    <row r="123" spans="17:19" ht="13.5">
      <c r="Q123" s="35" t="str">
        <f t="shared" si="5"/>
        <v>180°以上</v>
      </c>
      <c r="R123" s="36" t="str">
        <f t="shared" si="4"/>
        <v>180</v>
      </c>
      <c r="S123" s="1">
        <v>119</v>
      </c>
    </row>
    <row r="124" spans="17:19" ht="13.5">
      <c r="Q124" s="35" t="str">
        <f t="shared" si="5"/>
        <v>180°以上</v>
      </c>
      <c r="R124" s="36" t="str">
        <f t="shared" si="4"/>
        <v>180</v>
      </c>
      <c r="S124" s="1">
        <v>120</v>
      </c>
    </row>
    <row r="125" spans="17:19" ht="13.5">
      <c r="Q125" s="35" t="str">
        <f t="shared" si="5"/>
        <v>180°以上</v>
      </c>
      <c r="R125" s="36" t="str">
        <f t="shared" si="4"/>
        <v>180</v>
      </c>
      <c r="S125" s="1">
        <v>121</v>
      </c>
    </row>
    <row r="126" spans="17:19" ht="13.5">
      <c r="Q126" s="35" t="str">
        <f t="shared" si="5"/>
        <v>180°以上</v>
      </c>
      <c r="R126" s="36" t="str">
        <f t="shared" si="4"/>
        <v>180</v>
      </c>
      <c r="S126" s="1">
        <v>122</v>
      </c>
    </row>
    <row r="127" spans="17:19" ht="13.5">
      <c r="Q127" s="35" t="str">
        <f t="shared" si="5"/>
        <v>180°以上</v>
      </c>
      <c r="R127" s="36" t="str">
        <f t="shared" si="4"/>
        <v>180</v>
      </c>
      <c r="S127" s="1">
        <v>123</v>
      </c>
    </row>
    <row r="128" spans="17:19" ht="13.5">
      <c r="Q128" s="35" t="str">
        <f t="shared" si="5"/>
        <v>180°以上</v>
      </c>
      <c r="R128" s="36" t="str">
        <f t="shared" si="4"/>
        <v>180</v>
      </c>
      <c r="S128" s="1">
        <v>124</v>
      </c>
    </row>
    <row r="129" spans="17:19" ht="13.5">
      <c r="Q129" s="35" t="str">
        <f t="shared" si="5"/>
        <v>180°以上</v>
      </c>
      <c r="R129" s="36" t="str">
        <f t="shared" si="4"/>
        <v>180</v>
      </c>
      <c r="S129" s="1">
        <v>125</v>
      </c>
    </row>
    <row r="130" spans="17:19" ht="13.5">
      <c r="Q130" s="35" t="str">
        <f t="shared" si="5"/>
        <v>180°以上</v>
      </c>
      <c r="R130" s="36" t="str">
        <f t="shared" si="4"/>
        <v>180</v>
      </c>
      <c r="S130" s="1">
        <v>126</v>
      </c>
    </row>
    <row r="131" spans="17:19" ht="13.5">
      <c r="Q131" s="35" t="str">
        <f t="shared" si="5"/>
        <v>180°以上</v>
      </c>
      <c r="R131" s="36" t="str">
        <f t="shared" si="4"/>
        <v>180</v>
      </c>
      <c r="S131" s="1">
        <v>127</v>
      </c>
    </row>
    <row r="132" spans="17:19" ht="13.5">
      <c r="Q132" s="35" t="str">
        <f t="shared" si="5"/>
        <v>180°以上</v>
      </c>
      <c r="R132" s="36" t="str">
        <f t="shared" si="4"/>
        <v>180</v>
      </c>
      <c r="S132" s="1">
        <v>128</v>
      </c>
    </row>
    <row r="133" spans="17:19" ht="13.5">
      <c r="Q133" s="35" t="str">
        <f t="shared" si="5"/>
        <v>180°以上</v>
      </c>
      <c r="R133" s="36" t="str">
        <f t="shared" si="4"/>
        <v>180</v>
      </c>
      <c r="S133" s="1">
        <v>129</v>
      </c>
    </row>
    <row r="134" spans="17:19" ht="13.5">
      <c r="Q134" s="35" t="str">
        <f t="shared" si="5"/>
        <v>180°以上</v>
      </c>
      <c r="R134" s="36" t="str">
        <f t="shared" si="4"/>
        <v>180</v>
      </c>
      <c r="S134" s="1">
        <v>130</v>
      </c>
    </row>
    <row r="135" spans="17:19" ht="13.5">
      <c r="Q135" s="35" t="str">
        <f t="shared" si="5"/>
        <v>180°以上</v>
      </c>
      <c r="R135" s="36" t="str">
        <f t="shared" si="4"/>
        <v>180</v>
      </c>
      <c r="S135" s="1">
        <v>131</v>
      </c>
    </row>
    <row r="136" spans="17:19" ht="13.5">
      <c r="Q136" s="35" t="str">
        <f t="shared" si="5"/>
        <v>180°以上</v>
      </c>
      <c r="R136" s="36" t="str">
        <f t="shared" si="4"/>
        <v>180</v>
      </c>
      <c r="S136" s="1">
        <v>132</v>
      </c>
    </row>
    <row r="137" spans="17:19" ht="13.5">
      <c r="Q137" s="35" t="str">
        <f t="shared" si="5"/>
        <v>180°以上</v>
      </c>
      <c r="R137" s="36" t="str">
        <f t="shared" si="4"/>
        <v>180</v>
      </c>
      <c r="S137" s="1">
        <v>133</v>
      </c>
    </row>
    <row r="138" spans="17:19" ht="13.5">
      <c r="Q138" s="35" t="str">
        <f t="shared" si="5"/>
        <v>180°以上</v>
      </c>
      <c r="R138" s="36" t="str">
        <f t="shared" si="4"/>
        <v>180</v>
      </c>
      <c r="S138" s="1">
        <v>134</v>
      </c>
    </row>
    <row r="139" spans="17:19" ht="13.5">
      <c r="Q139" s="35" t="str">
        <f t="shared" si="5"/>
        <v>180°以上</v>
      </c>
      <c r="R139" s="36" t="str">
        <f t="shared" si="4"/>
        <v>180</v>
      </c>
      <c r="S139" s="1">
        <v>135</v>
      </c>
    </row>
    <row r="140" spans="17:19" ht="13.5">
      <c r="Q140" s="35" t="str">
        <f t="shared" si="5"/>
        <v>180°以上</v>
      </c>
      <c r="R140" s="36" t="str">
        <f t="shared" si="4"/>
        <v>180</v>
      </c>
      <c r="S140" s="1">
        <v>136</v>
      </c>
    </row>
    <row r="141" spans="17:19" ht="13.5">
      <c r="Q141" s="35" t="str">
        <f t="shared" si="5"/>
        <v>180°以上</v>
      </c>
      <c r="R141" s="36" t="str">
        <f t="shared" si="4"/>
        <v>180</v>
      </c>
      <c r="S141" s="1">
        <v>137</v>
      </c>
    </row>
    <row r="142" spans="17:19" ht="13.5">
      <c r="Q142" s="35" t="str">
        <f t="shared" si="5"/>
        <v>180°以上</v>
      </c>
      <c r="R142" s="36" t="str">
        <f t="shared" si="4"/>
        <v>180</v>
      </c>
      <c r="S142" s="1">
        <v>138</v>
      </c>
    </row>
    <row r="143" spans="17:19" ht="13.5">
      <c r="Q143" s="35" t="str">
        <f t="shared" si="5"/>
        <v>180°以上</v>
      </c>
      <c r="R143" s="36" t="str">
        <f t="shared" si="4"/>
        <v>180</v>
      </c>
      <c r="S143" s="1">
        <v>139</v>
      </c>
    </row>
    <row r="144" spans="17:19" ht="13.5">
      <c r="Q144" s="35" t="str">
        <f t="shared" si="5"/>
        <v>180°以上</v>
      </c>
      <c r="R144" s="36" t="str">
        <f t="shared" si="4"/>
        <v>180</v>
      </c>
      <c r="S144" s="1">
        <v>140</v>
      </c>
    </row>
    <row r="145" spans="17:19" ht="13.5">
      <c r="Q145" s="35" t="str">
        <f t="shared" si="5"/>
        <v>180°以上</v>
      </c>
      <c r="R145" s="36" t="str">
        <f t="shared" si="4"/>
        <v>180</v>
      </c>
      <c r="S145" s="1">
        <v>141</v>
      </c>
    </row>
    <row r="146" spans="17:19" ht="13.5">
      <c r="Q146" s="35" t="str">
        <f t="shared" si="5"/>
        <v>180°以上</v>
      </c>
      <c r="R146" s="36" t="str">
        <f t="shared" si="4"/>
        <v>180</v>
      </c>
      <c r="S146" s="1">
        <v>142</v>
      </c>
    </row>
    <row r="147" spans="17:19" ht="13.5">
      <c r="Q147" s="35" t="str">
        <f t="shared" si="5"/>
        <v>180°以上</v>
      </c>
      <c r="R147" s="36" t="str">
        <f t="shared" si="4"/>
        <v>180</v>
      </c>
      <c r="S147" s="1">
        <v>143</v>
      </c>
    </row>
    <row r="148" spans="17:19" ht="13.5">
      <c r="Q148" s="35" t="str">
        <f t="shared" si="5"/>
        <v>180°以上</v>
      </c>
      <c r="R148" s="36" t="str">
        <f t="shared" si="4"/>
        <v>180</v>
      </c>
      <c r="S148" s="1">
        <v>144</v>
      </c>
    </row>
    <row r="149" spans="17:19" ht="13.5">
      <c r="Q149" s="35" t="str">
        <f t="shared" si="5"/>
        <v>180°以上</v>
      </c>
      <c r="R149" s="36" t="str">
        <f t="shared" si="4"/>
        <v>180</v>
      </c>
      <c r="S149" s="1">
        <v>145</v>
      </c>
    </row>
    <row r="150" spans="17:19" ht="13.5">
      <c r="Q150" s="35" t="str">
        <f t="shared" si="5"/>
        <v>180°以上</v>
      </c>
      <c r="R150" s="36" t="str">
        <f t="shared" si="4"/>
        <v>180</v>
      </c>
      <c r="S150" s="1">
        <v>146</v>
      </c>
    </row>
    <row r="151" spans="17:19" ht="13.5">
      <c r="Q151" s="35" t="str">
        <f t="shared" si="5"/>
        <v>180°以上</v>
      </c>
      <c r="R151" s="36" t="str">
        <f t="shared" si="4"/>
        <v>180</v>
      </c>
      <c r="S151" s="1">
        <v>147</v>
      </c>
    </row>
    <row r="152" spans="17:19" ht="13.5">
      <c r="Q152" s="35" t="str">
        <f t="shared" si="5"/>
        <v>180°以上</v>
      </c>
      <c r="R152" s="36" t="str">
        <f t="shared" si="4"/>
        <v>180</v>
      </c>
      <c r="S152" s="1">
        <v>148</v>
      </c>
    </row>
    <row r="153" spans="17:19" ht="13.5">
      <c r="Q153" s="35" t="str">
        <f t="shared" si="5"/>
        <v>180°以上</v>
      </c>
      <c r="R153" s="36" t="str">
        <f t="shared" si="4"/>
        <v>180</v>
      </c>
      <c r="S153" s="1">
        <v>149</v>
      </c>
    </row>
    <row r="154" spans="17:19" ht="13.5">
      <c r="Q154" s="35" t="str">
        <f t="shared" si="5"/>
        <v>180°以上</v>
      </c>
      <c r="R154" s="36" t="str">
        <f t="shared" si="4"/>
        <v>180</v>
      </c>
      <c r="S154" s="1">
        <v>150</v>
      </c>
    </row>
    <row r="155" spans="17:19" ht="13.5">
      <c r="Q155" s="35" t="str">
        <f t="shared" si="5"/>
        <v>180°以上</v>
      </c>
      <c r="R155" s="36" t="str">
        <f t="shared" si="4"/>
        <v>180</v>
      </c>
      <c r="S155" s="1">
        <v>151</v>
      </c>
    </row>
    <row r="156" spans="17:19" ht="13.5">
      <c r="Q156" s="35" t="str">
        <f t="shared" si="5"/>
        <v>180°以上</v>
      </c>
      <c r="R156" s="36" t="str">
        <f t="shared" si="4"/>
        <v>180</v>
      </c>
      <c r="S156" s="1">
        <v>152</v>
      </c>
    </row>
    <row r="157" spans="17:19" ht="13.5">
      <c r="Q157" s="35" t="str">
        <f t="shared" si="5"/>
        <v>180°以上</v>
      </c>
      <c r="R157" s="36" t="str">
        <f t="shared" si="4"/>
        <v>180</v>
      </c>
      <c r="S157" s="1">
        <v>153</v>
      </c>
    </row>
    <row r="158" spans="17:19" ht="13.5">
      <c r="Q158" s="35" t="str">
        <f t="shared" si="5"/>
        <v>180°以上</v>
      </c>
      <c r="R158" s="36" t="str">
        <f t="shared" si="4"/>
        <v>180</v>
      </c>
      <c r="S158" s="1">
        <v>154</v>
      </c>
    </row>
    <row r="159" spans="17:19" ht="13.5">
      <c r="Q159" s="35" t="str">
        <f t="shared" si="5"/>
        <v>180°以上</v>
      </c>
      <c r="R159" s="36" t="str">
        <f t="shared" si="4"/>
        <v>180</v>
      </c>
      <c r="S159" s="1">
        <v>155</v>
      </c>
    </row>
    <row r="160" spans="17:19" ht="13.5">
      <c r="Q160" s="35" t="str">
        <f t="shared" si="5"/>
        <v>180°以上</v>
      </c>
      <c r="R160" s="36" t="str">
        <f t="shared" si="4"/>
        <v>180</v>
      </c>
      <c r="S160" s="1">
        <v>156</v>
      </c>
    </row>
    <row r="161" spans="17:19" ht="13.5">
      <c r="Q161" s="35" t="str">
        <f t="shared" si="5"/>
        <v>180°以上</v>
      </c>
      <c r="R161" s="36" t="str">
        <f t="shared" si="4"/>
        <v>180</v>
      </c>
      <c r="S161" s="1">
        <v>157</v>
      </c>
    </row>
    <row r="162" spans="17:19" ht="13.5">
      <c r="Q162" s="35" t="str">
        <f t="shared" si="5"/>
        <v>180°以上</v>
      </c>
      <c r="R162" s="36" t="str">
        <f t="shared" si="4"/>
        <v>180</v>
      </c>
      <c r="S162" s="1">
        <v>158</v>
      </c>
    </row>
    <row r="163" spans="17:19" ht="13.5">
      <c r="Q163" s="35" t="str">
        <f t="shared" si="5"/>
        <v>180°以上</v>
      </c>
      <c r="R163" s="36" t="str">
        <f aca="true" t="shared" si="6" ref="R163:R226">IF(Q164="","",IF(Q164="180°以上","180",ROUND(Q164,0)))</f>
        <v>180</v>
      </c>
      <c r="S163" s="1">
        <v>159</v>
      </c>
    </row>
    <row r="164" spans="17:19" ht="13.5">
      <c r="Q164" s="35" t="str">
        <f aca="true" t="shared" si="7" ref="Q164:Q227">IF(OR($H$45="",$H$40="",$H$41="",$H$63="",$H$61="",$H$44=""),"",IF($F$47="上記Ｒの値では取付できません","取付不可",IF(((($H$41+S162)^2+($H$40+$H$44)^2)^0.5+(((S162)^2+($H$40+$H$61)^2)^0.5))&lt;($H$63+$H$45),"180°以上",(ACOS((((($H$41+S162)^2+($H$40+$H$44)^2)^0.5)^2+(((S162)^2+($H$40+$H$61)^2)^0.5)^2-($H$63+$H$45)^2)/(2*((($H$41+S162)^2+($H$40+$H$44)^2)^0.5)*(((S162)^2+($H$40+$H$61)^2)^0.5)))-(ACOS(S162/(((S162)^2+($H$40+$H$61)^2)^0.5)))+(ACOS(($H$41+S162)/((($H$41+S162)^2+($H$40+$H$44)^2)^0.5))))*180/PI())))</f>
        <v>180°以上</v>
      </c>
      <c r="R164" s="36" t="str">
        <f t="shared" si="6"/>
        <v>180</v>
      </c>
      <c r="S164" s="1">
        <v>160</v>
      </c>
    </row>
    <row r="165" spans="17:19" ht="13.5">
      <c r="Q165" s="35" t="str">
        <f t="shared" si="7"/>
        <v>180°以上</v>
      </c>
      <c r="R165" s="36" t="str">
        <f t="shared" si="6"/>
        <v>180</v>
      </c>
      <c r="S165" s="1">
        <v>161</v>
      </c>
    </row>
    <row r="166" spans="17:19" ht="13.5">
      <c r="Q166" s="35" t="str">
        <f t="shared" si="7"/>
        <v>180°以上</v>
      </c>
      <c r="R166" s="36" t="str">
        <f t="shared" si="6"/>
        <v>180</v>
      </c>
      <c r="S166" s="1">
        <v>162</v>
      </c>
    </row>
    <row r="167" spans="17:19" ht="13.5">
      <c r="Q167" s="35" t="str">
        <f t="shared" si="7"/>
        <v>180°以上</v>
      </c>
      <c r="R167" s="36" t="str">
        <f t="shared" si="6"/>
        <v>180</v>
      </c>
      <c r="S167" s="1">
        <v>163</v>
      </c>
    </row>
    <row r="168" spans="17:19" ht="13.5">
      <c r="Q168" s="35" t="str">
        <f t="shared" si="7"/>
        <v>180°以上</v>
      </c>
      <c r="R168" s="36" t="str">
        <f t="shared" si="6"/>
        <v>180</v>
      </c>
      <c r="S168" s="1">
        <v>164</v>
      </c>
    </row>
    <row r="169" spans="17:19" ht="13.5">
      <c r="Q169" s="35" t="str">
        <f t="shared" si="7"/>
        <v>180°以上</v>
      </c>
      <c r="R169" s="36" t="str">
        <f t="shared" si="6"/>
        <v>180</v>
      </c>
      <c r="S169" s="1">
        <v>165</v>
      </c>
    </row>
    <row r="170" spans="17:19" ht="13.5">
      <c r="Q170" s="35" t="str">
        <f t="shared" si="7"/>
        <v>180°以上</v>
      </c>
      <c r="R170" s="36" t="str">
        <f t="shared" si="6"/>
        <v>180</v>
      </c>
      <c r="S170" s="1">
        <v>166</v>
      </c>
    </row>
    <row r="171" spans="17:19" ht="13.5">
      <c r="Q171" s="35" t="str">
        <f t="shared" si="7"/>
        <v>180°以上</v>
      </c>
      <c r="R171" s="36" t="str">
        <f t="shared" si="6"/>
        <v>180</v>
      </c>
      <c r="S171" s="1">
        <v>167</v>
      </c>
    </row>
    <row r="172" spans="17:19" ht="13.5">
      <c r="Q172" s="35" t="str">
        <f t="shared" si="7"/>
        <v>180°以上</v>
      </c>
      <c r="R172" s="36" t="str">
        <f t="shared" si="6"/>
        <v>180</v>
      </c>
      <c r="S172" s="1">
        <v>168</v>
      </c>
    </row>
    <row r="173" spans="17:19" ht="13.5">
      <c r="Q173" s="35" t="str">
        <f t="shared" si="7"/>
        <v>180°以上</v>
      </c>
      <c r="R173" s="36" t="str">
        <f t="shared" si="6"/>
        <v>180</v>
      </c>
      <c r="S173" s="1">
        <v>169</v>
      </c>
    </row>
    <row r="174" spans="17:19" ht="13.5">
      <c r="Q174" s="35" t="str">
        <f t="shared" si="7"/>
        <v>180°以上</v>
      </c>
      <c r="R174" s="36" t="str">
        <f t="shared" si="6"/>
        <v>180</v>
      </c>
      <c r="S174" s="1">
        <v>170</v>
      </c>
    </row>
    <row r="175" spans="17:19" ht="13.5">
      <c r="Q175" s="35" t="str">
        <f t="shared" si="7"/>
        <v>180°以上</v>
      </c>
      <c r="R175" s="36" t="str">
        <f t="shared" si="6"/>
        <v>180</v>
      </c>
      <c r="S175" s="1">
        <v>171</v>
      </c>
    </row>
    <row r="176" spans="17:19" ht="13.5">
      <c r="Q176" s="35" t="str">
        <f t="shared" si="7"/>
        <v>180°以上</v>
      </c>
      <c r="R176" s="36" t="str">
        <f t="shared" si="6"/>
        <v>180</v>
      </c>
      <c r="S176" s="1">
        <v>172</v>
      </c>
    </row>
    <row r="177" spans="17:19" ht="13.5">
      <c r="Q177" s="35" t="str">
        <f t="shared" si="7"/>
        <v>180°以上</v>
      </c>
      <c r="R177" s="36" t="str">
        <f t="shared" si="6"/>
        <v>180</v>
      </c>
      <c r="S177" s="1">
        <v>173</v>
      </c>
    </row>
    <row r="178" spans="17:19" ht="13.5">
      <c r="Q178" s="35" t="str">
        <f t="shared" si="7"/>
        <v>180°以上</v>
      </c>
      <c r="R178" s="36" t="str">
        <f t="shared" si="6"/>
        <v>180</v>
      </c>
      <c r="S178" s="1">
        <v>174</v>
      </c>
    </row>
    <row r="179" spans="17:19" ht="13.5">
      <c r="Q179" s="35" t="str">
        <f t="shared" si="7"/>
        <v>180°以上</v>
      </c>
      <c r="R179" s="36" t="str">
        <f t="shared" si="6"/>
        <v>180</v>
      </c>
      <c r="S179" s="1">
        <v>175</v>
      </c>
    </row>
    <row r="180" spans="17:19" ht="13.5">
      <c r="Q180" s="35" t="str">
        <f t="shared" si="7"/>
        <v>180°以上</v>
      </c>
      <c r="R180" s="36" t="str">
        <f t="shared" si="6"/>
        <v>180</v>
      </c>
      <c r="S180" s="1">
        <v>176</v>
      </c>
    </row>
    <row r="181" spans="17:19" ht="13.5">
      <c r="Q181" s="35" t="str">
        <f t="shared" si="7"/>
        <v>180°以上</v>
      </c>
      <c r="R181" s="36" t="str">
        <f t="shared" si="6"/>
        <v>180</v>
      </c>
      <c r="S181" s="1">
        <v>177</v>
      </c>
    </row>
    <row r="182" spans="17:19" ht="13.5">
      <c r="Q182" s="35" t="str">
        <f t="shared" si="7"/>
        <v>180°以上</v>
      </c>
      <c r="R182" s="36" t="str">
        <f t="shared" si="6"/>
        <v>180</v>
      </c>
      <c r="S182" s="1">
        <v>178</v>
      </c>
    </row>
    <row r="183" spans="17:19" ht="13.5">
      <c r="Q183" s="35" t="str">
        <f t="shared" si="7"/>
        <v>180°以上</v>
      </c>
      <c r="R183" s="36" t="str">
        <f t="shared" si="6"/>
        <v>180</v>
      </c>
      <c r="S183" s="1">
        <v>179</v>
      </c>
    </row>
    <row r="184" spans="17:19" ht="13.5">
      <c r="Q184" s="35" t="str">
        <f t="shared" si="7"/>
        <v>180°以上</v>
      </c>
      <c r="R184" s="36" t="str">
        <f t="shared" si="6"/>
        <v>180</v>
      </c>
      <c r="S184" s="1">
        <v>180</v>
      </c>
    </row>
    <row r="185" spans="17:19" ht="13.5">
      <c r="Q185" s="35" t="str">
        <f t="shared" si="7"/>
        <v>180°以上</v>
      </c>
      <c r="R185" s="36" t="str">
        <f t="shared" si="6"/>
        <v>180</v>
      </c>
      <c r="S185" s="1">
        <v>181</v>
      </c>
    </row>
    <row r="186" spans="17:19" ht="13.5">
      <c r="Q186" s="35" t="str">
        <f t="shared" si="7"/>
        <v>180°以上</v>
      </c>
      <c r="R186" s="36" t="str">
        <f t="shared" si="6"/>
        <v>180</v>
      </c>
      <c r="S186" s="1">
        <v>182</v>
      </c>
    </row>
    <row r="187" spans="17:19" ht="13.5">
      <c r="Q187" s="35" t="str">
        <f t="shared" si="7"/>
        <v>180°以上</v>
      </c>
      <c r="R187" s="36" t="str">
        <f t="shared" si="6"/>
        <v>180</v>
      </c>
      <c r="S187" s="1">
        <v>183</v>
      </c>
    </row>
    <row r="188" spans="17:19" ht="13.5">
      <c r="Q188" s="35" t="str">
        <f t="shared" si="7"/>
        <v>180°以上</v>
      </c>
      <c r="R188" s="36" t="str">
        <f t="shared" si="6"/>
        <v>180</v>
      </c>
      <c r="S188" s="1">
        <v>184</v>
      </c>
    </row>
    <row r="189" spans="17:19" ht="13.5">
      <c r="Q189" s="35" t="str">
        <f t="shared" si="7"/>
        <v>180°以上</v>
      </c>
      <c r="R189" s="36" t="str">
        <f t="shared" si="6"/>
        <v>180</v>
      </c>
      <c r="S189" s="1">
        <v>185</v>
      </c>
    </row>
    <row r="190" spans="17:19" ht="13.5">
      <c r="Q190" s="35" t="str">
        <f t="shared" si="7"/>
        <v>180°以上</v>
      </c>
      <c r="R190" s="36" t="str">
        <f t="shared" si="6"/>
        <v>180</v>
      </c>
      <c r="S190" s="1">
        <v>186</v>
      </c>
    </row>
    <row r="191" spans="17:19" ht="13.5">
      <c r="Q191" s="35" t="str">
        <f t="shared" si="7"/>
        <v>180°以上</v>
      </c>
      <c r="R191" s="36" t="str">
        <f t="shared" si="6"/>
        <v>180</v>
      </c>
      <c r="S191" s="1">
        <v>187</v>
      </c>
    </row>
    <row r="192" spans="17:19" ht="13.5">
      <c r="Q192" s="35" t="str">
        <f t="shared" si="7"/>
        <v>180°以上</v>
      </c>
      <c r="R192" s="36" t="str">
        <f t="shared" si="6"/>
        <v>180</v>
      </c>
      <c r="S192" s="1">
        <v>188</v>
      </c>
    </row>
    <row r="193" spans="17:19" ht="13.5">
      <c r="Q193" s="35" t="str">
        <f t="shared" si="7"/>
        <v>180°以上</v>
      </c>
      <c r="R193" s="36" t="str">
        <f t="shared" si="6"/>
        <v>180</v>
      </c>
      <c r="S193" s="1">
        <v>189</v>
      </c>
    </row>
    <row r="194" spans="17:19" ht="13.5">
      <c r="Q194" s="35" t="str">
        <f t="shared" si="7"/>
        <v>180°以上</v>
      </c>
      <c r="R194" s="36">
        <f t="shared" si="6"/>
        <v>166</v>
      </c>
      <c r="S194" s="1">
        <v>190</v>
      </c>
    </row>
    <row r="195" spans="17:19" ht="13.5">
      <c r="Q195" s="35">
        <f t="shared" si="7"/>
        <v>166.04521297768383</v>
      </c>
      <c r="R195" s="36">
        <f t="shared" si="6"/>
        <v>158</v>
      </c>
      <c r="S195" s="1">
        <v>191</v>
      </c>
    </row>
    <row r="196" spans="17:19" ht="13.5">
      <c r="Q196" s="35">
        <f t="shared" si="7"/>
        <v>158.27742919189242</v>
      </c>
      <c r="R196" s="36">
        <f t="shared" si="6"/>
        <v>154</v>
      </c>
      <c r="S196" s="1">
        <v>192</v>
      </c>
    </row>
    <row r="197" spans="17:19" ht="13.5">
      <c r="Q197" s="35">
        <f t="shared" si="7"/>
        <v>154.37999585051375</v>
      </c>
      <c r="R197" s="36">
        <f t="shared" si="6"/>
        <v>151</v>
      </c>
      <c r="S197" s="1">
        <v>193</v>
      </c>
    </row>
    <row r="198" spans="17:19" ht="13.5">
      <c r="Q198" s="35">
        <f t="shared" si="7"/>
        <v>151.3911832862012</v>
      </c>
      <c r="R198" s="36">
        <f t="shared" si="6"/>
        <v>149</v>
      </c>
      <c r="S198" s="1">
        <v>194</v>
      </c>
    </row>
    <row r="199" spans="17:19" ht="13.5">
      <c r="Q199" s="35">
        <f t="shared" si="7"/>
        <v>148.88155443705682</v>
      </c>
      <c r="R199" s="36">
        <f t="shared" si="6"/>
        <v>147</v>
      </c>
      <c r="S199" s="1">
        <v>195</v>
      </c>
    </row>
    <row r="200" spans="17:19" ht="13.5">
      <c r="Q200" s="35">
        <f t="shared" si="7"/>
        <v>146.68119191939215</v>
      </c>
      <c r="R200" s="36">
        <f t="shared" si="6"/>
        <v>145</v>
      </c>
      <c r="S200" s="1">
        <v>196</v>
      </c>
    </row>
    <row r="201" spans="17:19" ht="13.5">
      <c r="Q201" s="35">
        <f t="shared" si="7"/>
        <v>144.7020296211279</v>
      </c>
      <c r="R201" s="36">
        <f t="shared" si="6"/>
        <v>143</v>
      </c>
      <c r="S201" s="1">
        <v>197</v>
      </c>
    </row>
    <row r="202" spans="17:19" ht="13.5">
      <c r="Q202" s="35">
        <f t="shared" si="7"/>
        <v>142.89139727401644</v>
      </c>
      <c r="R202" s="36">
        <f t="shared" si="6"/>
        <v>141</v>
      </c>
      <c r="S202" s="1">
        <v>198</v>
      </c>
    </row>
    <row r="203" spans="17:19" ht="13.5">
      <c r="Q203" s="35">
        <f t="shared" si="7"/>
        <v>141.2148071991313</v>
      </c>
      <c r="R203" s="36">
        <f t="shared" si="6"/>
        <v>140</v>
      </c>
      <c r="S203" s="1">
        <v>199</v>
      </c>
    </row>
    <row r="204" spans="17:19" ht="13.5">
      <c r="Q204" s="35">
        <f t="shared" si="7"/>
        <v>139.64821020520654</v>
      </c>
      <c r="R204" s="36">
        <f t="shared" si="6"/>
        <v>138</v>
      </c>
      <c r="S204" s="1">
        <v>200</v>
      </c>
    </row>
    <row r="205" spans="17:19" ht="13.5">
      <c r="Q205" s="35">
        <f t="shared" si="7"/>
        <v>138.1740388173631</v>
      </c>
      <c r="R205" s="36">
        <f t="shared" si="6"/>
        <v>137</v>
      </c>
      <c r="S205" s="1">
        <v>201</v>
      </c>
    </row>
    <row r="206" spans="17:19" ht="13.5">
      <c r="Q206" s="35">
        <f t="shared" si="7"/>
        <v>136.77899322676444</v>
      </c>
      <c r="R206" s="36">
        <f t="shared" si="6"/>
        <v>135</v>
      </c>
      <c r="S206" s="1">
        <v>202</v>
      </c>
    </row>
    <row r="207" spans="17:19" ht="13.5">
      <c r="Q207" s="35">
        <f t="shared" si="7"/>
        <v>135.4527144713057</v>
      </c>
      <c r="R207" s="36">
        <f t="shared" si="6"/>
        <v>134</v>
      </c>
      <c r="S207" s="1">
        <v>203</v>
      </c>
    </row>
    <row r="208" spans="17:19" ht="13.5">
      <c r="Q208" s="35">
        <f t="shared" si="7"/>
        <v>134.18694541543428</v>
      </c>
      <c r="R208" s="36">
        <f t="shared" si="6"/>
        <v>133</v>
      </c>
      <c r="S208" s="1">
        <v>204</v>
      </c>
    </row>
    <row r="209" spans="17:19" ht="13.5">
      <c r="Q209" s="35">
        <f t="shared" si="7"/>
        <v>132.97497669805324</v>
      </c>
      <c r="R209" s="36">
        <f t="shared" si="6"/>
        <v>132</v>
      </c>
      <c r="S209" s="1">
        <v>205</v>
      </c>
    </row>
    <row r="210" spans="17:19" ht="13.5">
      <c r="Q210" s="35">
        <f t="shared" si="7"/>
        <v>131.81126755391054</v>
      </c>
      <c r="R210" s="36">
        <f t="shared" si="6"/>
        <v>131</v>
      </c>
      <c r="S210" s="1">
        <v>206</v>
      </c>
    </row>
    <row r="211" spans="17:19" ht="13.5">
      <c r="Q211" s="35">
        <f t="shared" si="7"/>
        <v>130.69117841446882</v>
      </c>
      <c r="R211" s="36">
        <f t="shared" si="6"/>
        <v>130</v>
      </c>
      <c r="S211" s="1">
        <v>207</v>
      </c>
    </row>
    <row r="212" spans="17:19" ht="13.5">
      <c r="Q212" s="35">
        <f t="shared" si="7"/>
        <v>129.6107774575649</v>
      </c>
      <c r="R212" s="36">
        <f t="shared" si="6"/>
        <v>129</v>
      </c>
      <c r="S212" s="1">
        <v>208</v>
      </c>
    </row>
    <row r="213" spans="17:19" ht="13.5">
      <c r="Q213" s="35">
        <f t="shared" si="7"/>
        <v>128.56669753817962</v>
      </c>
      <c r="R213" s="36">
        <f t="shared" si="6"/>
        <v>128</v>
      </c>
      <c r="S213" s="1">
        <v>209</v>
      </c>
    </row>
    <row r="214" spans="17:19" ht="13.5">
      <c r="Q214" s="35">
        <f t="shared" si="7"/>
        <v>127.55602832816828</v>
      </c>
      <c r="R214" s="36">
        <f t="shared" si="6"/>
        <v>127</v>
      </c>
      <c r="S214" s="1">
        <v>210</v>
      </c>
    </row>
    <row r="215" spans="17:19" ht="13.5">
      <c r="Q215" s="35">
        <f t="shared" si="7"/>
        <v>126.5762336152526</v>
      </c>
      <c r="R215" s="36">
        <f t="shared" si="6"/>
        <v>126</v>
      </c>
      <c r="S215" s="1">
        <v>211</v>
      </c>
    </row>
    <row r="216" spans="17:19" ht="13.5">
      <c r="Q216" s="35">
        <f t="shared" si="7"/>
        <v>125.62508693619026</v>
      </c>
      <c r="R216" s="36">
        <f t="shared" si="6"/>
        <v>125</v>
      </c>
      <c r="S216" s="1">
        <v>212</v>
      </c>
    </row>
    <row r="217" spans="17:19" ht="13.5">
      <c r="Q217" s="35">
        <f t="shared" si="7"/>
        <v>124.70062080547007</v>
      </c>
      <c r="R217" s="36">
        <f t="shared" si="6"/>
        <v>124</v>
      </c>
      <c r="S217" s="1">
        <v>213</v>
      </c>
    </row>
    <row r="218" spans="17:19" ht="13.5">
      <c r="Q218" s="35">
        <f t="shared" si="7"/>
        <v>123.80108618412913</v>
      </c>
      <c r="R218" s="36">
        <f t="shared" si="6"/>
        <v>123</v>
      </c>
      <c r="S218" s="1">
        <v>214</v>
      </c>
    </row>
    <row r="219" spans="17:19" ht="13.5">
      <c r="Q219" s="35">
        <f t="shared" si="7"/>
        <v>122.92491977046964</v>
      </c>
      <c r="R219" s="36">
        <f t="shared" si="6"/>
        <v>122</v>
      </c>
      <c r="S219" s="1">
        <v>215</v>
      </c>
    </row>
    <row r="220" spans="17:19" ht="13.5">
      <c r="Q220" s="35">
        <f t="shared" si="7"/>
        <v>122.0707173419355</v>
      </c>
      <c r="R220" s="36">
        <f t="shared" si="6"/>
        <v>121</v>
      </c>
      <c r="S220" s="1">
        <v>216</v>
      </c>
    </row>
    <row r="221" spans="17:19" ht="13.5">
      <c r="Q221" s="35">
        <f t="shared" si="7"/>
        <v>121.23721183268842</v>
      </c>
      <c r="R221" s="36">
        <f t="shared" si="6"/>
        <v>120</v>
      </c>
      <c r="S221" s="1">
        <v>217</v>
      </c>
    </row>
    <row r="222" spans="17:19" ht="13.5">
      <c r="Q222" s="35">
        <f t="shared" si="7"/>
        <v>120.42325515672316</v>
      </c>
      <c r="R222" s="36">
        <f t="shared" si="6"/>
        <v>120</v>
      </c>
      <c r="S222" s="1">
        <v>218</v>
      </c>
    </row>
    <row r="223" spans="17:19" ht="13.5">
      <c r="Q223" s="35">
        <f t="shared" si="7"/>
        <v>119.62780302220966</v>
      </c>
      <c r="R223" s="36">
        <f t="shared" si="6"/>
        <v>119</v>
      </c>
      <c r="S223" s="1">
        <v>219</v>
      </c>
    </row>
    <row r="224" spans="17:19" ht="13.5">
      <c r="Q224" s="35">
        <f t="shared" si="7"/>
        <v>118.84990215604213</v>
      </c>
      <c r="R224" s="36">
        <f t="shared" si="6"/>
        <v>118</v>
      </c>
      <c r="S224" s="1">
        <v>220</v>
      </c>
    </row>
    <row r="225" spans="17:19" ht="13.5">
      <c r="Q225" s="35">
        <f t="shared" si="7"/>
        <v>118.08867948648256</v>
      </c>
      <c r="R225" s="36">
        <f t="shared" si="6"/>
        <v>117</v>
      </c>
      <c r="S225" s="1">
        <v>221</v>
      </c>
    </row>
    <row r="226" spans="17:19" ht="13.5">
      <c r="Q226" s="35">
        <f t="shared" si="7"/>
        <v>117.34333292876931</v>
      </c>
      <c r="R226" s="36">
        <f t="shared" si="6"/>
        <v>117</v>
      </c>
      <c r="S226" s="1">
        <v>222</v>
      </c>
    </row>
    <row r="227" spans="17:19" ht="13.5">
      <c r="Q227" s="35">
        <f t="shared" si="7"/>
        <v>116.61312349229749</v>
      </c>
      <c r="R227" s="36">
        <f aca="true" t="shared" si="8" ref="R227:R290">IF(Q228="","",IF(Q228="180°以上","180",ROUND(Q228,0)))</f>
        <v>116</v>
      </c>
      <c r="S227" s="1">
        <v>223</v>
      </c>
    </row>
    <row r="228" spans="17:19" ht="13.5">
      <c r="Q228" s="35">
        <f aca="true" t="shared" si="9" ref="Q228:Q291">IF(OR($H$45="",$H$40="",$H$41="",$H$63="",$H$61="",$H$44=""),"",IF($F$47="上記Ｒの値では取付できません","取付不可",IF(((($H$41+S226)^2+($H$40+$H$44)^2)^0.5+(((S226)^2+($H$40+$H$61)^2)^0.5))&lt;($H$63+$H$45),"180°以上",(ACOS((((($H$41+S226)^2+($H$40+$H$44)^2)^0.5)^2+(((S226)^2+($H$40+$H$61)^2)^0.5)^2-($H$63+$H$45)^2)/(2*((($H$41+S226)^2+($H$40+$H$44)^2)^0.5)*(((S226)^2+($H$40+$H$61)^2)^0.5)))-(ACOS(S226/(((S226)^2+($H$40+$H$61)^2)^0.5)))+(ACOS(($H$41+S226)/((($H$41+S226)^2+($H$40+$H$44)^2)^0.5))))*180/PI())))</f>
        <v>115.89736848458685</v>
      </c>
      <c r="R228" s="36">
        <f t="shared" si="8"/>
        <v>115</v>
      </c>
      <c r="S228" s="1">
        <v>224</v>
      </c>
    </row>
    <row r="229" spans="17:19" ht="13.5">
      <c r="Q229" s="35">
        <f t="shared" si="9"/>
        <v>115.19543563111401</v>
      </c>
      <c r="R229" s="36">
        <f t="shared" si="8"/>
        <v>115</v>
      </c>
      <c r="S229" s="1">
        <v>225</v>
      </c>
    </row>
    <row r="230" spans="17:19" ht="13.5">
      <c r="Q230" s="35">
        <f t="shared" si="9"/>
        <v>114.5067379643499</v>
      </c>
      <c r="R230" s="36">
        <f t="shared" si="8"/>
        <v>114</v>
      </c>
      <c r="S230" s="1">
        <v>226</v>
      </c>
    </row>
    <row r="231" spans="17:19" ht="13.5">
      <c r="Q231" s="35">
        <f t="shared" si="9"/>
        <v>113.8307293623354</v>
      </c>
      <c r="R231" s="36">
        <f t="shared" si="8"/>
        <v>113</v>
      </c>
      <c r="S231" s="1">
        <v>227</v>
      </c>
    </row>
    <row r="232" spans="17:19" ht="13.5">
      <c r="Q232" s="35">
        <f t="shared" si="9"/>
        <v>113.16690063853765</v>
      </c>
      <c r="R232" s="36">
        <f t="shared" si="8"/>
        <v>113</v>
      </c>
      <c r="S232" s="1">
        <v>228</v>
      </c>
    </row>
    <row r="233" spans="17:19" ht="13.5">
      <c r="Q233" s="35">
        <f t="shared" si="9"/>
        <v>112.5147761018391</v>
      </c>
      <c r="R233" s="36">
        <f t="shared" si="8"/>
        <v>112</v>
      </c>
      <c r="S233" s="1">
        <v>229</v>
      </c>
    </row>
    <row r="234" spans="17:19" ht="13.5">
      <c r="Q234" s="35">
        <f t="shared" si="9"/>
        <v>111.87391051927082</v>
      </c>
      <c r="R234" s="36">
        <f t="shared" si="8"/>
        <v>111</v>
      </c>
      <c r="S234" s="1">
        <v>230</v>
      </c>
    </row>
    <row r="235" spans="17:19" ht="13.5">
      <c r="Q235" s="35">
        <f t="shared" si="9"/>
        <v>111.24388642523523</v>
      </c>
      <c r="R235" s="36">
        <f t="shared" si="8"/>
        <v>111</v>
      </c>
      <c r="S235" s="1">
        <v>231</v>
      </c>
    </row>
    <row r="236" spans="17:19" ht="13.5">
      <c r="Q236" s="35">
        <f t="shared" si="9"/>
        <v>110.62431173002791</v>
      </c>
      <c r="R236" s="36">
        <f t="shared" si="8"/>
        <v>110</v>
      </c>
      <c r="S236" s="1">
        <v>232</v>
      </c>
    </row>
    <row r="237" spans="17:19" ht="13.5">
      <c r="Q237" s="35">
        <f t="shared" si="9"/>
        <v>110.01481758788518</v>
      </c>
      <c r="R237" s="36">
        <f t="shared" si="8"/>
        <v>109</v>
      </c>
      <c r="S237" s="1">
        <v>233</v>
      </c>
    </row>
    <row r="238" spans="17:19" ht="13.5">
      <c r="Q238" s="35">
        <f t="shared" si="9"/>
        <v>109.41505649088954</v>
      </c>
      <c r="R238" s="36">
        <f t="shared" si="8"/>
        <v>109</v>
      </c>
      <c r="S238" s="1">
        <v>234</v>
      </c>
    </row>
    <row r="239" spans="17:19" ht="13.5">
      <c r="Q239" s="35">
        <f t="shared" si="9"/>
        <v>108.82470056011088</v>
      </c>
      <c r="R239" s="36">
        <f t="shared" si="8"/>
        <v>108</v>
      </c>
      <c r="S239" s="1">
        <v>235</v>
      </c>
    </row>
    <row r="240" spans="17:19" ht="13.5">
      <c r="Q240" s="35">
        <f t="shared" si="9"/>
        <v>108.24344000955686</v>
      </c>
      <c r="R240" s="36">
        <f t="shared" si="8"/>
        <v>108</v>
      </c>
      <c r="S240" s="1">
        <v>236</v>
      </c>
    </row>
    <row r="241" spans="17:19" ht="13.5">
      <c r="Q241" s="35">
        <f t="shared" si="9"/>
        <v>107.67098176200396</v>
      </c>
      <c r="R241" s="36">
        <f t="shared" si="8"/>
        <v>107</v>
      </c>
      <c r="S241" s="1">
        <v>237</v>
      </c>
    </row>
    <row r="242" spans="17:19" ht="13.5">
      <c r="Q242" s="35">
        <f t="shared" si="9"/>
        <v>107.10704819871482</v>
      </c>
      <c r="R242" s="36">
        <f t="shared" si="8"/>
        <v>107</v>
      </c>
      <c r="S242" s="1">
        <v>238</v>
      </c>
    </row>
    <row r="243" spans="17:19" ht="13.5">
      <c r="Q243" s="35">
        <f t="shared" si="9"/>
        <v>106.55137602751651</v>
      </c>
      <c r="R243" s="36">
        <f t="shared" si="8"/>
        <v>106</v>
      </c>
      <c r="S243" s="1">
        <v>239</v>
      </c>
    </row>
    <row r="244" spans="17:19" ht="13.5">
      <c r="Q244" s="35">
        <f t="shared" si="9"/>
        <v>106.00371525580009</v>
      </c>
      <c r="R244" s="36">
        <f t="shared" si="8"/>
        <v>105</v>
      </c>
      <c r="S244" s="1">
        <v>240</v>
      </c>
    </row>
    <row r="245" spans="17:19" ht="13.5">
      <c r="Q245" s="35">
        <f t="shared" si="9"/>
        <v>105.46382825676994</v>
      </c>
      <c r="R245" s="36">
        <f t="shared" si="8"/>
        <v>105</v>
      </c>
      <c r="S245" s="1">
        <v>241</v>
      </c>
    </row>
    <row r="246" spans="17:19" ht="13.5">
      <c r="Q246" s="35">
        <f t="shared" si="9"/>
        <v>104.93148891877782</v>
      </c>
      <c r="R246" s="36">
        <f t="shared" si="8"/>
        <v>104</v>
      </c>
      <c r="S246" s="1">
        <v>242</v>
      </c>
    </row>
    <row r="247" spans="17:19" ht="13.5">
      <c r="Q247" s="35">
        <f t="shared" si="9"/>
        <v>104.40648186886091</v>
      </c>
      <c r="R247" s="36">
        <f t="shared" si="8"/>
        <v>104</v>
      </c>
      <c r="S247" s="1">
        <v>243</v>
      </c>
    </row>
    <row r="248" spans="17:19" ht="13.5">
      <c r="Q248" s="35">
        <f t="shared" si="9"/>
        <v>103.88860176270695</v>
      </c>
      <c r="R248" s="36">
        <f t="shared" si="8"/>
        <v>103</v>
      </c>
      <c r="S248" s="1">
        <v>244</v>
      </c>
    </row>
    <row r="249" spans="17:19" ht="13.5">
      <c r="Q249" s="35">
        <f t="shared" si="9"/>
        <v>103.37765263421181</v>
      </c>
      <c r="R249" s="36">
        <f t="shared" si="8"/>
        <v>103</v>
      </c>
      <c r="S249" s="1">
        <v>245</v>
      </c>
    </row>
    <row r="250" spans="17:19" ht="13.5">
      <c r="Q250" s="35">
        <f t="shared" si="9"/>
        <v>102.87344729861657</v>
      </c>
      <c r="R250" s="36">
        <f t="shared" si="8"/>
        <v>102</v>
      </c>
      <c r="S250" s="1">
        <v>246</v>
      </c>
    </row>
    <row r="251" spans="17:19" ht="13.5">
      <c r="Q251" s="35">
        <f t="shared" si="9"/>
        <v>102.3758068039122</v>
      </c>
      <c r="R251" s="36">
        <f t="shared" si="8"/>
        <v>102</v>
      </c>
      <c r="S251" s="1">
        <v>247</v>
      </c>
    </row>
    <row r="252" spans="17:19" ht="13.5">
      <c r="Q252" s="35">
        <f t="shared" si="9"/>
        <v>101.88455992581335</v>
      </c>
      <c r="R252" s="36">
        <f t="shared" si="8"/>
        <v>101</v>
      </c>
      <c r="S252" s="1">
        <v>248</v>
      </c>
    </row>
    <row r="253" spans="17:19" ht="13.5">
      <c r="Q253" s="35">
        <f t="shared" si="9"/>
        <v>101.3995427021355</v>
      </c>
      <c r="R253" s="36">
        <f t="shared" si="8"/>
        <v>101</v>
      </c>
      <c r="S253" s="1">
        <v>249</v>
      </c>
    </row>
    <row r="254" spans="17:19" ht="13.5">
      <c r="Q254" s="35">
        <f t="shared" si="9"/>
        <v>100.92059800287095</v>
      </c>
      <c r="R254" s="36">
        <f t="shared" si="8"/>
        <v>100</v>
      </c>
      <c r="S254" s="1">
        <v>250</v>
      </c>
    </row>
    <row r="255" spans="17:19" ht="13.5">
      <c r="Q255" s="35">
        <f t="shared" si="9"/>
        <v>100.44757513266607</v>
      </c>
      <c r="R255" s="36">
        <f t="shared" si="8"/>
        <v>100</v>
      </c>
      <c r="S255" s="1">
        <v>251</v>
      </c>
    </row>
    <row r="256" spans="17:19" ht="13.5">
      <c r="Q256" s="35">
        <f t="shared" si="9"/>
        <v>99.98032946275606</v>
      </c>
      <c r="R256" s="36">
        <f t="shared" si="8"/>
        <v>100</v>
      </c>
      <c r="S256" s="1">
        <v>252</v>
      </c>
    </row>
    <row r="257" spans="17:19" ht="13.5">
      <c r="Q257" s="35">
        <f t="shared" si="9"/>
        <v>99.51872208972438</v>
      </c>
      <c r="R257" s="36">
        <f t="shared" si="8"/>
        <v>99</v>
      </c>
      <c r="S257" s="1">
        <v>253</v>
      </c>
    </row>
    <row r="258" spans="17:19" ht="13.5">
      <c r="Q258" s="35">
        <f t="shared" si="9"/>
        <v>99.06261951872885</v>
      </c>
      <c r="R258" s="36">
        <f t="shared" si="8"/>
        <v>99</v>
      </c>
      <c r="S258" s="1">
        <v>254</v>
      </c>
    </row>
    <row r="259" spans="17:19" ht="13.5">
      <c r="Q259" s="35">
        <f t="shared" si="9"/>
        <v>98.61189336907789</v>
      </c>
      <c r="R259" s="36">
        <f t="shared" si="8"/>
        <v>98</v>
      </c>
      <c r="S259" s="1">
        <v>255</v>
      </c>
    </row>
    <row r="260" spans="17:19" ht="13.5">
      <c r="Q260" s="35">
        <f t="shared" si="9"/>
        <v>98.16642010025197</v>
      </c>
      <c r="R260" s="36">
        <f t="shared" si="8"/>
        <v>98</v>
      </c>
      <c r="S260" s="1">
        <v>256</v>
      </c>
    </row>
    <row r="261" spans="17:19" ht="13.5">
      <c r="Q261" s="35">
        <f t="shared" si="9"/>
        <v>97.72608075665754</v>
      </c>
      <c r="R261" s="36">
        <f t="shared" si="8"/>
        <v>97</v>
      </c>
      <c r="S261" s="1">
        <v>257</v>
      </c>
    </row>
    <row r="262" spans="17:19" ht="13.5">
      <c r="Q262" s="35">
        <f t="shared" si="9"/>
        <v>97.29076072956533</v>
      </c>
      <c r="R262" s="36">
        <f t="shared" si="8"/>
        <v>97</v>
      </c>
      <c r="S262" s="1">
        <v>258</v>
      </c>
    </row>
    <row r="263" spans="17:19" ht="13.5">
      <c r="Q263" s="35">
        <f t="shared" si="9"/>
        <v>96.86034953483556</v>
      </c>
      <c r="R263" s="36">
        <f t="shared" si="8"/>
        <v>96</v>
      </c>
      <c r="S263" s="1">
        <v>259</v>
      </c>
    </row>
    <row r="264" spans="17:19" ht="13.5">
      <c r="Q264" s="35">
        <f t="shared" si="9"/>
        <v>96.43474060516417</v>
      </c>
      <c r="R264" s="36">
        <f t="shared" si="8"/>
        <v>96</v>
      </c>
      <c r="S264" s="1">
        <v>260</v>
      </c>
    </row>
    <row r="265" spans="17:19" ht="13.5">
      <c r="Q265" s="35">
        <f t="shared" si="9"/>
        <v>96.01383109570394</v>
      </c>
      <c r="R265" s="36">
        <f t="shared" si="8"/>
        <v>96</v>
      </c>
      <c r="S265" s="1">
        <v>261</v>
      </c>
    </row>
    <row r="266" spans="17:19" ht="13.5">
      <c r="Q266" s="35">
        <f t="shared" si="9"/>
        <v>95.59752170201884</v>
      </c>
      <c r="R266" s="36">
        <f t="shared" si="8"/>
        <v>95</v>
      </c>
      <c r="S266" s="1">
        <v>262</v>
      </c>
    </row>
    <row r="267" spans="17:19" ht="13.5">
      <c r="Q267" s="35">
        <f t="shared" si="9"/>
        <v>95.18571648942428</v>
      </c>
      <c r="R267" s="36">
        <f t="shared" si="8"/>
        <v>95</v>
      </c>
      <c r="S267" s="1">
        <v>263</v>
      </c>
    </row>
    <row r="268" spans="17:19" ht="13.5">
      <c r="Q268" s="35">
        <f t="shared" si="9"/>
        <v>94.77832273285303</v>
      </c>
      <c r="R268" s="36">
        <f t="shared" si="8"/>
        <v>94</v>
      </c>
      <c r="S268" s="1">
        <v>264</v>
      </c>
    </row>
    <row r="269" spans="17:19" ht="13.5">
      <c r="Q269" s="35">
        <f t="shared" si="9"/>
        <v>94.37525076645917</v>
      </c>
      <c r="R269" s="36">
        <f t="shared" si="8"/>
        <v>94</v>
      </c>
      <c r="S269" s="1">
        <v>265</v>
      </c>
    </row>
    <row r="270" spans="17:19" ht="13.5">
      <c r="Q270" s="35">
        <f t="shared" si="9"/>
        <v>93.97641384224501</v>
      </c>
      <c r="R270" s="36">
        <f t="shared" si="8"/>
        <v>94</v>
      </c>
      <c r="S270" s="1">
        <v>266</v>
      </c>
    </row>
    <row r="271" spans="17:19" ht="13.5">
      <c r="Q271" s="35">
        <f t="shared" si="9"/>
        <v>93.58172799705386</v>
      </c>
      <c r="R271" s="36">
        <f t="shared" si="8"/>
        <v>93</v>
      </c>
      <c r="S271" s="1">
        <v>267</v>
      </c>
    </row>
    <row r="272" spans="17:19" ht="13.5">
      <c r="Q272" s="35">
        <f t="shared" si="9"/>
        <v>93.19111192732991</v>
      </c>
      <c r="R272" s="36">
        <f t="shared" si="8"/>
        <v>93</v>
      </c>
      <c r="S272" s="1">
        <v>268</v>
      </c>
    </row>
    <row r="273" spans="17:19" ht="13.5">
      <c r="Q273" s="35">
        <f t="shared" si="9"/>
        <v>92.80448687109474</v>
      </c>
      <c r="R273" s="36">
        <f t="shared" si="8"/>
        <v>92</v>
      </c>
      <c r="S273" s="1">
        <v>269</v>
      </c>
    </row>
    <row r="274" spans="17:19" ht="13.5">
      <c r="Q274" s="35">
        <f t="shared" si="9"/>
        <v>92.42177649663807</v>
      </c>
      <c r="R274" s="36">
        <f t="shared" si="8"/>
        <v>92</v>
      </c>
      <c r="S274" s="1">
        <v>270</v>
      </c>
    </row>
    <row r="275" spans="17:19" ht="13.5">
      <c r="Q275" s="35">
        <f t="shared" si="9"/>
        <v>92.04290679745708</v>
      </c>
      <c r="R275" s="36">
        <f t="shared" si="8"/>
        <v>92</v>
      </c>
      <c r="S275" s="1">
        <v>271</v>
      </c>
    </row>
    <row r="276" spans="17:19" ht="13.5">
      <c r="Q276" s="35">
        <f t="shared" si="9"/>
        <v>91.66780599302194</v>
      </c>
      <c r="R276" s="36">
        <f t="shared" si="8"/>
        <v>91</v>
      </c>
      <c r="S276" s="1">
        <v>272</v>
      </c>
    </row>
    <row r="277" spans="17:19" ht="13.5">
      <c r="Q277" s="35">
        <f t="shared" si="9"/>
        <v>91.29640443497334</v>
      </c>
      <c r="R277" s="36">
        <f t="shared" si="8"/>
        <v>91</v>
      </c>
      <c r="S277" s="1">
        <v>273</v>
      </c>
    </row>
    <row r="278" spans="17:19" ht="13.5">
      <c r="Q278" s="35">
        <f t="shared" si="9"/>
        <v>90.92863451839227</v>
      </c>
      <c r="R278" s="36">
        <f t="shared" si="8"/>
        <v>91</v>
      </c>
      <c r="S278" s="1">
        <v>274</v>
      </c>
    </row>
    <row r="279" spans="17:19" ht="13.5">
      <c r="Q279" s="35">
        <f t="shared" si="9"/>
        <v>90.56443059780929</v>
      </c>
      <c r="R279" s="36">
        <f t="shared" si="8"/>
        <v>90</v>
      </c>
      <c r="S279" s="1">
        <v>275</v>
      </c>
    </row>
    <row r="280" spans="17:19" ht="13.5">
      <c r="Q280" s="35">
        <f t="shared" si="9"/>
        <v>90.2037289076455</v>
      </c>
      <c r="R280" s="36">
        <f t="shared" si="8"/>
        <v>90</v>
      </c>
      <c r="S280" s="1">
        <v>276</v>
      </c>
    </row>
    <row r="281" spans="17:19" ht="13.5">
      <c r="Q281" s="35">
        <f t="shared" si="9"/>
        <v>89.84646748680179</v>
      </c>
      <c r="R281" s="36">
        <f t="shared" si="8"/>
        <v>89</v>
      </c>
      <c r="S281" s="1">
        <v>277</v>
      </c>
    </row>
    <row r="282" spans="17:19" ht="13.5">
      <c r="Q282" s="35">
        <f t="shared" si="9"/>
        <v>89.4925861071335</v>
      </c>
      <c r="R282" s="36">
        <f t="shared" si="8"/>
        <v>89</v>
      </c>
      <c r="S282" s="1">
        <v>278</v>
      </c>
    </row>
    <row r="283" spans="17:19" ht="13.5">
      <c r="Q283" s="35">
        <f t="shared" si="9"/>
        <v>89.14202620556723</v>
      </c>
      <c r="R283" s="36">
        <f t="shared" si="8"/>
        <v>89</v>
      </c>
      <c r="S283" s="1">
        <v>279</v>
      </c>
    </row>
    <row r="284" spans="17:19" ht="13.5">
      <c r="Q284" s="35">
        <f t="shared" si="9"/>
        <v>88.79473081963475</v>
      </c>
      <c r="R284" s="36">
        <f t="shared" si="8"/>
        <v>88</v>
      </c>
      <c r="S284" s="1">
        <v>280</v>
      </c>
    </row>
    <row r="285" spans="17:19" ht="13.5">
      <c r="Q285" s="35">
        <f t="shared" si="9"/>
        <v>88.45064452621473</v>
      </c>
      <c r="R285" s="36">
        <f t="shared" si="8"/>
        <v>88</v>
      </c>
      <c r="S285" s="1">
        <v>281</v>
      </c>
    </row>
    <row r="286" spans="17:19" ht="13.5">
      <c r="Q286" s="35">
        <f t="shared" si="9"/>
        <v>88.10971338328845</v>
      </c>
      <c r="R286" s="36">
        <f t="shared" si="8"/>
        <v>88</v>
      </c>
      <c r="S286" s="1">
        <v>282</v>
      </c>
    </row>
    <row r="287" spans="17:19" ht="13.5">
      <c r="Q287" s="35">
        <f t="shared" si="9"/>
        <v>87.77188487452898</v>
      </c>
      <c r="R287" s="36">
        <f t="shared" si="8"/>
        <v>87</v>
      </c>
      <c r="S287" s="1">
        <v>283</v>
      </c>
    </row>
    <row r="288" spans="17:19" ht="13.5">
      <c r="Q288" s="35">
        <f t="shared" si="9"/>
        <v>87.43710785655676</v>
      </c>
      <c r="R288" s="36">
        <f t="shared" si="8"/>
        <v>87</v>
      </c>
      <c r="S288" s="1">
        <v>284</v>
      </c>
    </row>
    <row r="289" spans="17:19" ht="13.5">
      <c r="Q289" s="35">
        <f t="shared" si="9"/>
        <v>87.10533250870465</v>
      </c>
      <c r="R289" s="36">
        <f t="shared" si="8"/>
        <v>87</v>
      </c>
      <c r="S289" s="1">
        <v>285</v>
      </c>
    </row>
    <row r="290" spans="17:19" ht="13.5">
      <c r="Q290" s="35">
        <f t="shared" si="9"/>
        <v>86.77651028514808</v>
      </c>
      <c r="R290" s="36">
        <f t="shared" si="8"/>
        <v>86</v>
      </c>
      <c r="S290" s="1">
        <v>286</v>
      </c>
    </row>
    <row r="291" spans="17:19" ht="13.5">
      <c r="Q291" s="35">
        <f t="shared" si="9"/>
        <v>86.4505938692642</v>
      </c>
      <c r="R291" s="36">
        <f aca="true" t="shared" si="10" ref="R291:R354">IF(Q292="","",IF(Q292="180°以上","180",ROUND(Q292,0)))</f>
        <v>86</v>
      </c>
      <c r="S291" s="1">
        <v>287</v>
      </c>
    </row>
    <row r="292" spans="17:19" ht="13.5">
      <c r="Q292" s="35">
        <f aca="true" t="shared" si="11" ref="Q292:Q355">IF(OR($H$45="",$H$40="",$H$41="",$H$63="",$H$61="",$H$44=""),"",IF($F$47="上記Ｒの値では取付できません","取付不可",IF(((($H$41+S290)^2+($H$40+$H$44)^2)^0.5+(((S290)^2+($H$40+$H$61)^2)^0.5))&lt;($H$63+$H$45),"180°以上",(ACOS((((($H$41+S290)^2+($H$40+$H$44)^2)^0.5)^2+(((S290)^2+($H$40+$H$61)^2)^0.5)^2-($H$63+$H$45)^2)/(2*((($H$41+S290)^2+($H$40+$H$44)^2)^0.5)*(((S290)^2+($H$40+$H$61)^2)^0.5)))-(ACOS(S290/(((S290)^2+($H$40+$H$61)^2)^0.5)))+(ACOS(($H$41+S290)/((($H$41+S290)^2+($H$40+$H$44)^2)^0.5))))*180/PI())))</f>
        <v>86.12753713009415</v>
      </c>
      <c r="R292" s="36">
        <f t="shared" si="10"/>
        <v>86</v>
      </c>
      <c r="S292" s="1">
        <v>288</v>
      </c>
    </row>
    <row r="293" spans="17:19" ht="13.5">
      <c r="Q293" s="35">
        <f t="shared" si="11"/>
        <v>85.80729508079024</v>
      </c>
      <c r="R293" s="36">
        <f t="shared" si="10"/>
        <v>85</v>
      </c>
      <c r="S293" s="1">
        <v>289</v>
      </c>
    </row>
    <row r="294" spans="17:19" ht="13.5">
      <c r="Q294" s="35">
        <f t="shared" si="11"/>
        <v>85.48982383893777</v>
      </c>
      <c r="R294" s="36">
        <f t="shared" si="10"/>
        <v>85</v>
      </c>
      <c r="S294" s="1">
        <v>290</v>
      </c>
    </row>
    <row r="295" spans="17:19" ht="13.5">
      <c r="Q295" s="35">
        <f t="shared" si="11"/>
        <v>85.1750805886488</v>
      </c>
      <c r="R295" s="36">
        <f t="shared" si="10"/>
        <v>85</v>
      </c>
      <c r="S295" s="1">
        <v>291</v>
      </c>
    </row>
    <row r="296" spans="17:19" ht="13.5">
      <c r="Q296" s="35">
        <f t="shared" si="11"/>
        <v>84.86302354433141</v>
      </c>
      <c r="R296" s="36">
        <f t="shared" si="10"/>
        <v>85</v>
      </c>
      <c r="S296" s="1">
        <v>292</v>
      </c>
    </row>
    <row r="297" spans="17:19" ht="13.5">
      <c r="Q297" s="35">
        <f t="shared" si="11"/>
        <v>84.55361191604402</v>
      </c>
      <c r="R297" s="36">
        <f t="shared" si="10"/>
        <v>84</v>
      </c>
      <c r="S297" s="1">
        <v>293</v>
      </c>
    </row>
    <row r="298" spans="17:19" ht="13.5">
      <c r="Q298" s="35">
        <f t="shared" si="11"/>
        <v>84.24680587635046</v>
      </c>
      <c r="R298" s="36">
        <f t="shared" si="10"/>
        <v>84</v>
      </c>
      <c r="S298" s="1">
        <v>294</v>
      </c>
    </row>
    <row r="299" spans="17:19" ht="13.5">
      <c r="Q299" s="35">
        <f t="shared" si="11"/>
        <v>83.94256652859661</v>
      </c>
      <c r="R299" s="36">
        <f t="shared" si="10"/>
        <v>84</v>
      </c>
      <c r="S299" s="1">
        <v>295</v>
      </c>
    </row>
    <row r="300" spans="17:19" ht="13.5">
      <c r="Q300" s="35">
        <f t="shared" si="11"/>
        <v>83.64085587653433</v>
      </c>
      <c r="R300" s="36">
        <f t="shared" si="10"/>
        <v>83</v>
      </c>
      <c r="S300" s="1">
        <v>296</v>
      </c>
    </row>
    <row r="301" spans="17:19" ht="13.5">
      <c r="Q301" s="35">
        <f t="shared" si="11"/>
        <v>83.34163679522248</v>
      </c>
      <c r="R301" s="36">
        <f t="shared" si="10"/>
        <v>83</v>
      </c>
      <c r="S301" s="1">
        <v>297</v>
      </c>
    </row>
    <row r="302" spans="17:19" ht="13.5">
      <c r="Q302" s="35">
        <f t="shared" si="11"/>
        <v>83.04487300314021</v>
      </c>
      <c r="R302" s="36">
        <f t="shared" si="10"/>
        <v>83</v>
      </c>
      <c r="S302" s="1">
        <v>298</v>
      </c>
    </row>
    <row r="303" spans="17:19" ht="13.5">
      <c r="Q303" s="35">
        <f t="shared" si="11"/>
        <v>82.75052903545061</v>
      </c>
      <c r="R303" s="36">
        <f t="shared" si="10"/>
        <v>82</v>
      </c>
      <c r="S303" s="1">
        <v>299</v>
      </c>
    </row>
    <row r="304" spans="17:19" ht="13.5">
      <c r="Q304" s="35">
        <f t="shared" si="11"/>
        <v>82.4585702183568</v>
      </c>
      <c r="R304" s="36">
        <f t="shared" si="10"/>
        <v>82</v>
      </c>
      <c r="S304" s="1">
        <v>300</v>
      </c>
    </row>
    <row r="305" spans="17:19" ht="13.5">
      <c r="Q305" s="35">
        <f t="shared" si="11"/>
        <v>82.16896264449578</v>
      </c>
      <c r="R305" s="36">
        <f t="shared" si="10"/>
        <v>82</v>
      </c>
      <c r="S305" s="1">
        <v>301</v>
      </c>
    </row>
    <row r="306" spans="17:19" ht="13.5">
      <c r="Q306" s="35">
        <f t="shared" si="11"/>
        <v>81.88167314931998</v>
      </c>
      <c r="R306" s="36">
        <f t="shared" si="10"/>
        <v>82</v>
      </c>
      <c r="S306" s="1">
        <v>302</v>
      </c>
    </row>
    <row r="307" spans="17:19" ht="13.5">
      <c r="Q307" s="35">
        <f t="shared" si="11"/>
        <v>81.59666928841602</v>
      </c>
      <c r="R307" s="36">
        <f t="shared" si="10"/>
        <v>81</v>
      </c>
      <c r="S307" s="1">
        <v>303</v>
      </c>
    </row>
    <row r="308" spans="17:19" ht="13.5">
      <c r="Q308" s="35">
        <f t="shared" si="11"/>
        <v>81.31391931571744</v>
      </c>
      <c r="R308" s="36">
        <f t="shared" si="10"/>
        <v>81</v>
      </c>
      <c r="S308" s="1">
        <v>304</v>
      </c>
    </row>
    <row r="309" spans="17:19" ht="13.5">
      <c r="Q309" s="35">
        <f t="shared" si="11"/>
        <v>81.03339216256721</v>
      </c>
      <c r="R309" s="36">
        <f t="shared" si="10"/>
        <v>81</v>
      </c>
      <c r="S309" s="1">
        <v>305</v>
      </c>
    </row>
    <row r="310" spans="17:19" ht="13.5">
      <c r="Q310" s="35">
        <f t="shared" si="11"/>
        <v>80.75505741758941</v>
      </c>
      <c r="R310" s="36">
        <f t="shared" si="10"/>
        <v>80</v>
      </c>
      <c r="S310" s="1">
        <v>306</v>
      </c>
    </row>
    <row r="311" spans="17:19" ht="13.5">
      <c r="Q311" s="35">
        <f t="shared" si="11"/>
        <v>80.47888530733304</v>
      </c>
      <c r="R311" s="36">
        <f t="shared" si="10"/>
        <v>80</v>
      </c>
      <c r="S311" s="1">
        <v>307</v>
      </c>
    </row>
    <row r="312" spans="17:19" ht="13.5">
      <c r="Q312" s="35">
        <f t="shared" si="11"/>
        <v>80.20484667765015</v>
      </c>
      <c r="R312" s="36">
        <f t="shared" si="10"/>
        <v>80</v>
      </c>
      <c r="S312" s="1">
        <v>308</v>
      </c>
    </row>
    <row r="313" spans="17:19" ht="13.5">
      <c r="Q313" s="35">
        <f t="shared" si="11"/>
        <v>79.932912975776</v>
      </c>
      <c r="R313" s="36">
        <f t="shared" si="10"/>
        <v>80</v>
      </c>
      <c r="S313" s="1">
        <v>309</v>
      </c>
    </row>
    <row r="314" spans="17:19" ht="13.5">
      <c r="Q314" s="35">
        <f t="shared" si="11"/>
        <v>79.66305623307746</v>
      </c>
      <c r="R314" s="36">
        <f t="shared" si="10"/>
        <v>79</v>
      </c>
      <c r="S314" s="1">
        <v>310</v>
      </c>
    </row>
    <row r="315" spans="17:19" ht="13.5">
      <c r="Q315" s="35">
        <f t="shared" si="11"/>
        <v>79.39524904843992</v>
      </c>
      <c r="R315" s="36">
        <f t="shared" si="10"/>
        <v>79</v>
      </c>
      <c r="S315" s="1">
        <v>311</v>
      </c>
    </row>
    <row r="316" spans="17:19" ht="13.5">
      <c r="Q316" s="35">
        <f t="shared" si="11"/>
        <v>79.12946457226415</v>
      </c>
      <c r="R316" s="36">
        <f t="shared" si="10"/>
        <v>79</v>
      </c>
      <c r="S316" s="1">
        <v>312</v>
      </c>
    </row>
    <row r="317" spans="17:19" ht="13.5">
      <c r="Q317" s="35">
        <f t="shared" si="11"/>
        <v>78.86567649104462</v>
      </c>
      <c r="R317" s="36">
        <f t="shared" si="10"/>
        <v>79</v>
      </c>
      <c r="S317" s="1">
        <v>313</v>
      </c>
    </row>
    <row r="318" spans="17:19" ht="13.5">
      <c r="Q318" s="35">
        <f t="shared" si="11"/>
        <v>78.6038590125046</v>
      </c>
      <c r="R318" s="36">
        <f t="shared" si="10"/>
        <v>78</v>
      </c>
      <c r="S318" s="1">
        <v>314</v>
      </c>
    </row>
    <row r="319" spans="17:19" ht="13.5">
      <c r="Q319" s="35">
        <f t="shared" si="11"/>
        <v>78.34398685126303</v>
      </c>
      <c r="R319" s="36">
        <f t="shared" si="10"/>
        <v>78</v>
      </c>
      <c r="S319" s="1">
        <v>315</v>
      </c>
    </row>
    <row r="320" spans="17:19" ht="13.5">
      <c r="Q320" s="35">
        <f t="shared" si="11"/>
        <v>78.08603521500979</v>
      </c>
      <c r="R320" s="36">
        <f t="shared" si="10"/>
        <v>78</v>
      </c>
      <c r="S320" s="1">
        <v>316</v>
      </c>
    </row>
    <row r="321" spans="17:19" ht="13.5">
      <c r="Q321" s="35">
        <f t="shared" si="11"/>
        <v>77.82997979116715</v>
      </c>
      <c r="R321" s="36">
        <f t="shared" si="10"/>
        <v>78</v>
      </c>
      <c r="S321" s="1">
        <v>317</v>
      </c>
    </row>
    <row r="322" spans="17:19" ht="13.5">
      <c r="Q322" s="35">
        <f t="shared" si="11"/>
        <v>77.57579673401722</v>
      </c>
      <c r="R322" s="36">
        <f t="shared" si="10"/>
        <v>77</v>
      </c>
      <c r="S322" s="1">
        <v>318</v>
      </c>
    </row>
    <row r="323" spans="17:19" ht="13.5">
      <c r="Q323" s="35">
        <f t="shared" si="11"/>
        <v>77.32346265227481</v>
      </c>
      <c r="R323" s="36">
        <f t="shared" si="10"/>
        <v>77</v>
      </c>
      <c r="S323" s="1">
        <v>319</v>
      </c>
    </row>
    <row r="324" spans="17:19" ht="13.5">
      <c r="Q324" s="35">
        <f t="shared" si="11"/>
        <v>77.07295459708683</v>
      </c>
      <c r="R324" s="36">
        <f t="shared" si="10"/>
        <v>77</v>
      </c>
      <c r="S324" s="1">
        <v>320</v>
      </c>
    </row>
    <row r="325" spans="17:19" ht="13.5">
      <c r="Q325" s="35">
        <f t="shared" si="11"/>
        <v>76.82425005044121</v>
      </c>
      <c r="R325" s="36">
        <f t="shared" si="10"/>
        <v>77</v>
      </c>
      <c r="S325" s="1">
        <v>321</v>
      </c>
    </row>
    <row r="326" spans="17:19" ht="13.5">
      <c r="Q326" s="35">
        <f t="shared" si="11"/>
        <v>76.57732691396667</v>
      </c>
      <c r="R326" s="36">
        <f t="shared" si="10"/>
        <v>76</v>
      </c>
      <c r="S326" s="1">
        <v>322</v>
      </c>
    </row>
    <row r="327" spans="17:19" ht="13.5">
      <c r="Q327" s="35">
        <f t="shared" si="11"/>
        <v>76.33216349810893</v>
      </c>
      <c r="R327" s="36">
        <f t="shared" si="10"/>
        <v>76</v>
      </c>
      <c r="S327" s="1">
        <v>323</v>
      </c>
    </row>
    <row r="328" spans="17:19" ht="13.5">
      <c r="Q328" s="35">
        <f t="shared" si="11"/>
        <v>76.08873851166655</v>
      </c>
      <c r="R328" s="36">
        <f t="shared" si="10"/>
        <v>76</v>
      </c>
      <c r="S328" s="1">
        <v>324</v>
      </c>
    </row>
    <row r="329" spans="17:19" ht="13.5">
      <c r="Q329" s="35">
        <f t="shared" si="11"/>
        <v>75.84703105167272</v>
      </c>
      <c r="R329" s="36">
        <f t="shared" si="10"/>
        <v>76</v>
      </c>
      <c r="S329" s="1">
        <v>325</v>
      </c>
    </row>
    <row r="330" spans="17:19" ht="13.5">
      <c r="Q330" s="35">
        <f t="shared" si="11"/>
        <v>75.60702059360807</v>
      </c>
      <c r="R330" s="36">
        <f t="shared" si="10"/>
        <v>75</v>
      </c>
      <c r="S330" s="1">
        <v>326</v>
      </c>
    </row>
    <row r="331" spans="17:19" ht="13.5">
      <c r="Q331" s="35">
        <f t="shared" si="11"/>
        <v>75.36868698193236</v>
      </c>
      <c r="R331" s="36">
        <f t="shared" si="10"/>
        <v>75</v>
      </c>
      <c r="S331" s="1">
        <v>327</v>
      </c>
    </row>
    <row r="332" spans="17:19" ht="13.5">
      <c r="Q332" s="35">
        <f t="shared" si="11"/>
        <v>75.13201042092105</v>
      </c>
      <c r="R332" s="36">
        <f t="shared" si="10"/>
        <v>75</v>
      </c>
      <c r="S332" s="1">
        <v>328</v>
      </c>
    </row>
    <row r="333" spans="17:19" ht="13.5">
      <c r="Q333" s="35">
        <f t="shared" si="11"/>
        <v>74.89697146579601</v>
      </c>
      <c r="R333" s="36">
        <f t="shared" si="10"/>
        <v>75</v>
      </c>
      <c r="S333" s="1">
        <v>329</v>
      </c>
    </row>
    <row r="334" spans="17:19" ht="13.5">
      <c r="Q334" s="35">
        <f t="shared" si="11"/>
        <v>74.6635510141378</v>
      </c>
      <c r="R334" s="36">
        <f t="shared" si="10"/>
        <v>74</v>
      </c>
      <c r="S334" s="1">
        <v>330</v>
      </c>
    </row>
    <row r="335" spans="17:19" ht="13.5">
      <c r="Q335" s="35">
        <f t="shared" si="11"/>
        <v>74.4317302975691</v>
      </c>
      <c r="R335" s="36">
        <f t="shared" si="10"/>
        <v>74</v>
      </c>
      <c r="S335" s="1">
        <v>331</v>
      </c>
    </row>
    <row r="336" spans="17:19" ht="13.5">
      <c r="Q336" s="35">
        <f t="shared" si="11"/>
        <v>74.20149087369887</v>
      </c>
      <c r="R336" s="36">
        <f t="shared" si="10"/>
        <v>74</v>
      </c>
      <c r="S336" s="1">
        <v>332</v>
      </c>
    </row>
    <row r="337" spans="17:19" ht="13.5">
      <c r="Q337" s="35">
        <f t="shared" si="11"/>
        <v>73.97281461831649</v>
      </c>
      <c r="R337" s="36">
        <f t="shared" si="10"/>
        <v>74</v>
      </c>
      <c r="S337" s="1">
        <v>333</v>
      </c>
    </row>
    <row r="338" spans="17:19" ht="13.5">
      <c r="Q338" s="35">
        <f t="shared" si="11"/>
        <v>73.74568371782756</v>
      </c>
      <c r="R338" s="36">
        <f t="shared" si="10"/>
        <v>74</v>
      </c>
      <c r="S338" s="1">
        <v>334</v>
      </c>
    </row>
    <row r="339" spans="17:19" ht="13.5">
      <c r="Q339" s="35">
        <f t="shared" si="11"/>
        <v>73.52008066192126</v>
      </c>
      <c r="R339" s="36">
        <f t="shared" si="10"/>
        <v>73</v>
      </c>
      <c r="S339" s="1">
        <v>335</v>
      </c>
    </row>
    <row r="340" spans="17:19" ht="13.5">
      <c r="Q340" s="35">
        <f t="shared" si="11"/>
        <v>73.29598823646069</v>
      </c>
      <c r="R340" s="36">
        <f t="shared" si="10"/>
        <v>73</v>
      </c>
      <c r="S340" s="1">
        <v>336</v>
      </c>
    </row>
    <row r="341" spans="17:19" ht="13.5">
      <c r="Q341" s="35">
        <f t="shared" si="11"/>
        <v>73.07338951658852</v>
      </c>
      <c r="R341" s="36">
        <f t="shared" si="10"/>
        <v>73</v>
      </c>
      <c r="S341" s="1">
        <v>337</v>
      </c>
    </row>
    <row r="342" spans="17:19" ht="13.5">
      <c r="Q342" s="35">
        <f t="shared" si="11"/>
        <v>72.85226786003916</v>
      </c>
      <c r="R342" s="36">
        <f t="shared" si="10"/>
        <v>73</v>
      </c>
      <c r="S342" s="1">
        <v>338</v>
      </c>
    </row>
    <row r="343" spans="17:19" ht="13.5">
      <c r="Q343" s="35">
        <f t="shared" si="11"/>
        <v>72.63260690065027</v>
      </c>
      <c r="R343" s="36">
        <f t="shared" si="10"/>
        <v>72</v>
      </c>
      <c r="S343" s="1">
        <v>339</v>
      </c>
    </row>
    <row r="344" spans="17:19" ht="13.5">
      <c r="Q344" s="35">
        <f t="shared" si="11"/>
        <v>72.41439054206657</v>
      </c>
      <c r="R344" s="36">
        <f t="shared" si="10"/>
        <v>72</v>
      </c>
      <c r="S344" s="1">
        <v>340</v>
      </c>
    </row>
    <row r="345" spans="17:19" ht="13.5">
      <c r="Q345" s="35">
        <f t="shared" si="11"/>
        <v>72.19760295162814</v>
      </c>
      <c r="R345" s="36">
        <f t="shared" si="10"/>
        <v>72</v>
      </c>
      <c r="S345" s="1">
        <v>341</v>
      </c>
    </row>
    <row r="346" spans="17:19" ht="13.5">
      <c r="Q346" s="35">
        <f t="shared" si="11"/>
        <v>71.98222855443768</v>
      </c>
      <c r="R346" s="36">
        <f t="shared" si="10"/>
        <v>72</v>
      </c>
      <c r="S346" s="1">
        <v>342</v>
      </c>
    </row>
    <row r="347" spans="17:19" ht="13.5">
      <c r="Q347" s="35">
        <f t="shared" si="11"/>
        <v>71.76825202759946</v>
      </c>
      <c r="R347" s="36">
        <f t="shared" si="10"/>
        <v>72</v>
      </c>
      <c r="S347" s="1">
        <v>343</v>
      </c>
    </row>
    <row r="348" spans="17:19" ht="13.5">
      <c r="Q348" s="35">
        <f t="shared" si="11"/>
        <v>71.55565829462422</v>
      </c>
      <c r="R348" s="36">
        <f t="shared" si="10"/>
        <v>71</v>
      </c>
      <c r="S348" s="1">
        <v>344</v>
      </c>
    </row>
    <row r="349" spans="17:19" ht="13.5">
      <c r="Q349" s="35">
        <f t="shared" si="11"/>
        <v>71.34443251999393</v>
      </c>
      <c r="R349" s="36">
        <f t="shared" si="10"/>
        <v>71</v>
      </c>
      <c r="S349" s="1">
        <v>345</v>
      </c>
    </row>
    <row r="350" spans="17:19" ht="13.5">
      <c r="Q350" s="35">
        <f t="shared" si="11"/>
        <v>71.13456010388136</v>
      </c>
      <c r="R350" s="36">
        <f t="shared" si="10"/>
        <v>71</v>
      </c>
      <c r="S350" s="1">
        <v>346</v>
      </c>
    </row>
    <row r="351" spans="17:19" ht="13.5">
      <c r="Q351" s="35">
        <f t="shared" si="11"/>
        <v>70.9260266770183</v>
      </c>
      <c r="R351" s="36">
        <f t="shared" si="10"/>
        <v>71</v>
      </c>
      <c r="S351" s="1">
        <v>347</v>
      </c>
    </row>
    <row r="352" spans="17:19" ht="13.5">
      <c r="Q352" s="35">
        <f t="shared" si="11"/>
        <v>70.71881809570776</v>
      </c>
      <c r="R352" s="36">
        <f t="shared" si="10"/>
        <v>71</v>
      </c>
      <c r="S352" s="1">
        <v>348</v>
      </c>
    </row>
    <row r="353" spans="17:19" ht="13.5">
      <c r="Q353" s="35">
        <f t="shared" si="11"/>
        <v>70.51292043697543</v>
      </c>
      <c r="R353" s="36">
        <f t="shared" si="10"/>
        <v>70</v>
      </c>
      <c r="S353" s="1">
        <v>349</v>
      </c>
    </row>
    <row r="354" spans="17:19" ht="13.5">
      <c r="Q354" s="35">
        <f t="shared" si="11"/>
        <v>70.3083199938547</v>
      </c>
      <c r="R354" s="36">
        <f t="shared" si="10"/>
        <v>70</v>
      </c>
      <c r="S354" s="1">
        <v>350</v>
      </c>
    </row>
    <row r="355" spans="17:19" ht="13.5">
      <c r="Q355" s="35">
        <f t="shared" si="11"/>
        <v>70.10500327080197</v>
      </c>
      <c r="R355" s="36">
        <f aca="true" t="shared" si="12" ref="R355:R418">IF(Q356="","",IF(Q356="180°以上","180",ROUND(Q356,0)))</f>
        <v>70</v>
      </c>
      <c r="S355" s="1">
        <v>351</v>
      </c>
    </row>
    <row r="356" spans="17:19" ht="13.5">
      <c r="Q356" s="35">
        <f aca="true" t="shared" si="13" ref="Q356:Q419">IF(OR($H$45="",$H$40="",$H$41="",$H$63="",$H$61="",$H$44=""),"",IF($F$47="上記Ｒの値では取付できません","取付不可",IF(((($H$41+S354)^2+($H$40+$H$44)^2)^0.5+(((S354)^2+($H$40+$H$61)^2)^0.5))&lt;($H$63+$H$45),"180°以上",(ACOS((((($H$41+S354)^2+($H$40+$H$44)^2)^0.5)^2+(((S354)^2+($H$40+$H$61)^2)^0.5)^2-($H$63+$H$45)^2)/(2*((($H$41+S354)^2+($H$40+$H$44)^2)^0.5)*(((S354)^2+($H$40+$H$61)^2)^0.5)))-(ACOS(S354/(((S354)^2+($H$40+$H$61)^2)^0.5)))+(ACOS(($H$41+S354)/((($H$41+S354)^2+($H$40+$H$44)^2)^0.5))))*180/PI())))</f>
        <v>69.90295697923669</v>
      </c>
      <c r="R356" s="36">
        <f t="shared" si="12"/>
        <v>70</v>
      </c>
      <c r="S356" s="1">
        <v>352</v>
      </c>
    </row>
    <row r="357" spans="17:19" ht="13.5">
      <c r="Q357" s="35">
        <f t="shared" si="13"/>
        <v>69.70216803320301</v>
      </c>
      <c r="R357" s="36">
        <f t="shared" si="12"/>
        <v>70</v>
      </c>
      <c r="S357" s="1">
        <v>353</v>
      </c>
    </row>
    <row r="358" spans="17:19" ht="13.5">
      <c r="Q358" s="35">
        <f t="shared" si="13"/>
        <v>69.50262354514784</v>
      </c>
      <c r="R358" s="36">
        <f t="shared" si="12"/>
        <v>69</v>
      </c>
      <c r="S358" s="1">
        <v>354</v>
      </c>
    </row>
    <row r="359" spans="17:19" ht="13.5">
      <c r="Q359" s="35">
        <f t="shared" si="13"/>
        <v>69.30431082181263</v>
      </c>
      <c r="R359" s="36">
        <f t="shared" si="12"/>
        <v>69</v>
      </c>
      <c r="S359" s="1">
        <v>355</v>
      </c>
    </row>
    <row r="360" spans="17:19" ht="13.5">
      <c r="Q360" s="35">
        <f t="shared" si="13"/>
        <v>69.10721736023416</v>
      </c>
      <c r="R360" s="36">
        <f t="shared" si="12"/>
        <v>69</v>
      </c>
      <c r="S360" s="1">
        <v>356</v>
      </c>
    </row>
    <row r="361" spans="17:19" ht="13.5">
      <c r="Q361" s="35">
        <f t="shared" si="13"/>
        <v>68.91133084385177</v>
      </c>
      <c r="R361" s="36">
        <f t="shared" si="12"/>
        <v>69</v>
      </c>
      <c r="S361" s="1">
        <v>357</v>
      </c>
    </row>
    <row r="362" spans="17:19" ht="13.5">
      <c r="Q362" s="35">
        <f t="shared" si="13"/>
        <v>68.71663913871619</v>
      </c>
      <c r="R362" s="36">
        <f t="shared" si="12"/>
        <v>69</v>
      </c>
      <c r="S362" s="1">
        <v>358</v>
      </c>
    </row>
    <row r="363" spans="17:19" ht="13.5">
      <c r="Q363" s="35">
        <f t="shared" si="13"/>
        <v>68.52313028979835</v>
      </c>
      <c r="R363" s="36">
        <f t="shared" si="12"/>
        <v>68</v>
      </c>
      <c r="S363" s="1">
        <v>359</v>
      </c>
    </row>
    <row r="364" spans="17:19" ht="13.5">
      <c r="Q364" s="35">
        <f t="shared" si="13"/>
        <v>68.33079251739356</v>
      </c>
      <c r="R364" s="36">
        <f t="shared" si="12"/>
        <v>68</v>
      </c>
      <c r="S364" s="1">
        <v>360</v>
      </c>
    </row>
    <row r="365" spans="17:19" ht="13.5">
      <c r="Q365" s="35">
        <f t="shared" si="13"/>
        <v>68.13961421361877</v>
      </c>
      <c r="R365" s="36">
        <f t="shared" si="12"/>
        <v>68</v>
      </c>
      <c r="S365" s="1">
        <v>361</v>
      </c>
    </row>
    <row r="366" spans="17:19" ht="13.5">
      <c r="Q366" s="35">
        <f t="shared" si="13"/>
        <v>67.94958393899988</v>
      </c>
      <c r="R366" s="36">
        <f t="shared" si="12"/>
        <v>68</v>
      </c>
      <c r="S366" s="1">
        <v>362</v>
      </c>
    </row>
    <row r="367" spans="17:19" ht="13.5">
      <c r="Q367" s="35">
        <f t="shared" si="13"/>
        <v>67.760690419146</v>
      </c>
      <c r="R367" s="36">
        <f t="shared" si="12"/>
        <v>68</v>
      </c>
      <c r="S367" s="1">
        <v>363</v>
      </c>
    </row>
    <row r="368" spans="17:19" ht="13.5">
      <c r="Q368" s="35">
        <f t="shared" si="13"/>
        <v>67.57292254150813</v>
      </c>
      <c r="R368" s="36">
        <f t="shared" si="12"/>
        <v>67</v>
      </c>
      <c r="S368" s="1">
        <v>364</v>
      </c>
    </row>
    <row r="369" spans="17:19" ht="13.5">
      <c r="Q369" s="35">
        <f t="shared" si="13"/>
        <v>67.38626935221971</v>
      </c>
      <c r="R369" s="36">
        <f t="shared" si="12"/>
        <v>67</v>
      </c>
      <c r="S369" s="1">
        <v>365</v>
      </c>
    </row>
    <row r="370" spans="17:19" ht="13.5">
      <c r="Q370" s="35">
        <f t="shared" si="13"/>
        <v>67.20072005301614</v>
      </c>
      <c r="R370" s="36">
        <f t="shared" si="12"/>
        <v>67</v>
      </c>
      <c r="S370" s="1">
        <v>366</v>
      </c>
    </row>
    <row r="371" spans="17:19" ht="13.5">
      <c r="Q371" s="35">
        <f t="shared" si="13"/>
        <v>67.01626399823147</v>
      </c>
      <c r="R371" s="36">
        <f t="shared" si="12"/>
        <v>67</v>
      </c>
      <c r="S371" s="1">
        <v>367</v>
      </c>
    </row>
    <row r="372" spans="17:19" ht="13.5">
      <c r="Q372" s="35">
        <f t="shared" si="13"/>
        <v>66.83289069186927</v>
      </c>
      <c r="R372" s="36">
        <f t="shared" si="12"/>
        <v>67</v>
      </c>
      <c r="S372" s="1">
        <v>368</v>
      </c>
    </row>
    <row r="373" spans="17:19" ht="13.5">
      <c r="Q373" s="35">
        <f t="shared" si="13"/>
        <v>66.65058978474558</v>
      </c>
      <c r="R373" s="36">
        <f t="shared" si="12"/>
        <v>66</v>
      </c>
      <c r="S373" s="1">
        <v>369</v>
      </c>
    </row>
    <row r="374" spans="17:19" ht="13.5">
      <c r="Q374" s="35">
        <f t="shared" si="13"/>
        <v>66.4693510717022</v>
      </c>
      <c r="R374" s="36">
        <f t="shared" si="12"/>
        <v>66</v>
      </c>
      <c r="S374" s="1">
        <v>370</v>
      </c>
    </row>
    <row r="375" spans="17:19" ht="13.5">
      <c r="Q375" s="35">
        <f t="shared" si="13"/>
        <v>66.28916448888766</v>
      </c>
      <c r="R375" s="36">
        <f t="shared" si="12"/>
        <v>66</v>
      </c>
      <c r="S375" s="1">
        <v>371</v>
      </c>
    </row>
    <row r="376" spans="17:19" ht="13.5">
      <c r="Q376" s="35">
        <f t="shared" si="13"/>
        <v>66.11002011110413</v>
      </c>
      <c r="R376" s="36">
        <f t="shared" si="12"/>
        <v>66</v>
      </c>
      <c r="S376" s="1">
        <v>372</v>
      </c>
    </row>
    <row r="377" spans="17:19" ht="13.5">
      <c r="Q377" s="35">
        <f t="shared" si="13"/>
        <v>65.93190814921788</v>
      </c>
      <c r="R377" s="36">
        <f t="shared" si="12"/>
        <v>66</v>
      </c>
      <c r="S377" s="1">
        <v>373</v>
      </c>
    </row>
    <row r="378" spans="17:19" ht="13.5">
      <c r="Q378" s="35">
        <f t="shared" si="13"/>
        <v>65.75481894763257</v>
      </c>
      <c r="R378" s="36">
        <f t="shared" si="12"/>
        <v>66</v>
      </c>
      <c r="S378" s="1">
        <v>374</v>
      </c>
    </row>
    <row r="379" spans="17:19" ht="13.5">
      <c r="Q379" s="35">
        <f t="shared" si="13"/>
        <v>65.57874298182195</v>
      </c>
      <c r="R379" s="36">
        <f t="shared" si="12"/>
        <v>65</v>
      </c>
      <c r="S379" s="1">
        <v>375</v>
      </c>
    </row>
    <row r="380" spans="17:19" ht="13.5">
      <c r="Q380" s="35">
        <f t="shared" si="13"/>
        <v>65.40367085592129</v>
      </c>
      <c r="R380" s="36">
        <f t="shared" si="12"/>
        <v>65</v>
      </c>
      <c r="S380" s="1">
        <v>376</v>
      </c>
    </row>
    <row r="381" spans="17:19" ht="13.5">
      <c r="Q381" s="35">
        <f t="shared" si="13"/>
        <v>65.22959330037568</v>
      </c>
      <c r="R381" s="36">
        <f t="shared" si="12"/>
        <v>65</v>
      </c>
      <c r="S381" s="1">
        <v>377</v>
      </c>
    </row>
    <row r="382" spans="17:19" ht="13.5">
      <c r="Q382" s="35">
        <f t="shared" si="13"/>
        <v>65.05650116964335</v>
      </c>
      <c r="R382" s="36">
        <f t="shared" si="12"/>
        <v>65</v>
      </c>
      <c r="S382" s="1">
        <v>378</v>
      </c>
    </row>
    <row r="383" spans="17:19" ht="13.5">
      <c r="Q383" s="35">
        <f t="shared" si="13"/>
        <v>64.88438543995214</v>
      </c>
      <c r="R383" s="36">
        <f t="shared" si="12"/>
        <v>65</v>
      </c>
      <c r="S383" s="1">
        <v>379</v>
      </c>
    </row>
    <row r="384" spans="17:19" ht="13.5">
      <c r="Q384" s="35">
        <f t="shared" si="13"/>
        <v>64.7132372071088</v>
      </c>
      <c r="R384" s="36">
        <f t="shared" si="12"/>
        <v>65</v>
      </c>
      <c r="S384" s="1">
        <v>380</v>
      </c>
    </row>
    <row r="385" spans="17:19" ht="13.5">
      <c r="Q385" s="35">
        <f t="shared" si="13"/>
        <v>64.54304768435784</v>
      </c>
      <c r="R385" s="36">
        <f t="shared" si="12"/>
        <v>64</v>
      </c>
      <c r="S385" s="1">
        <v>381</v>
      </c>
    </row>
    <row r="386" spans="17:19" ht="13.5">
      <c r="Q386" s="35">
        <f t="shared" si="13"/>
        <v>64.37380820029018</v>
      </c>
      <c r="R386" s="36">
        <f t="shared" si="12"/>
        <v>64</v>
      </c>
      <c r="S386" s="1">
        <v>382</v>
      </c>
    </row>
    <row r="387" spans="17:19" ht="13.5">
      <c r="Q387" s="35">
        <f t="shared" si="13"/>
        <v>64.20551019679917</v>
      </c>
      <c r="R387" s="36">
        <f t="shared" si="12"/>
        <v>64</v>
      </c>
      <c r="S387" s="1">
        <v>383</v>
      </c>
    </row>
    <row r="388" spans="17:19" ht="13.5">
      <c r="Q388" s="35">
        <f t="shared" si="13"/>
        <v>64.03814522708309</v>
      </c>
      <c r="R388" s="36">
        <f t="shared" si="12"/>
        <v>64</v>
      </c>
      <c r="S388" s="1">
        <v>384</v>
      </c>
    </row>
    <row r="389" spans="17:19" ht="13.5">
      <c r="Q389" s="35">
        <f t="shared" si="13"/>
        <v>63.87170495369264</v>
      </c>
      <c r="R389" s="36">
        <f t="shared" si="12"/>
        <v>64</v>
      </c>
      <c r="S389" s="1">
        <v>385</v>
      </c>
    </row>
    <row r="390" spans="17:19" ht="13.5">
      <c r="Q390" s="35">
        <f t="shared" si="13"/>
        <v>63.70618114662232</v>
      </c>
      <c r="R390" s="36">
        <f t="shared" si="12"/>
        <v>64</v>
      </c>
      <c r="S390" s="1">
        <v>386</v>
      </c>
    </row>
    <row r="391" spans="17:19" ht="13.5">
      <c r="Q391" s="35">
        <f t="shared" si="13"/>
        <v>63.54156568144445</v>
      </c>
      <c r="R391" s="36">
        <f t="shared" si="12"/>
        <v>63</v>
      </c>
      <c r="S391" s="1">
        <v>387</v>
      </c>
    </row>
    <row r="392" spans="17:19" ht="13.5">
      <c r="Q392" s="35">
        <f t="shared" si="13"/>
        <v>63.37785053748458</v>
      </c>
      <c r="R392" s="36">
        <f t="shared" si="12"/>
        <v>63</v>
      </c>
      <c r="S392" s="1">
        <v>388</v>
      </c>
    </row>
    <row r="393" spans="17:19" ht="13.5">
      <c r="Q393" s="35">
        <f t="shared" si="13"/>
        <v>63.21502779603748</v>
      </c>
      <c r="R393" s="36">
        <f t="shared" si="12"/>
        <v>63</v>
      </c>
      <c r="S393" s="1">
        <v>389</v>
      </c>
    </row>
    <row r="394" spans="17:19" ht="13.5">
      <c r="Q394" s="35">
        <f t="shared" si="13"/>
        <v>63.05308963862188</v>
      </c>
      <c r="R394" s="36">
        <f t="shared" si="12"/>
        <v>63</v>
      </c>
      <c r="S394" s="1">
        <v>390</v>
      </c>
    </row>
    <row r="395" spans="17:19" ht="13.5">
      <c r="Q395" s="35">
        <f t="shared" si="13"/>
        <v>62.892028345273815</v>
      </c>
      <c r="R395" s="36">
        <f t="shared" si="12"/>
        <v>63</v>
      </c>
      <c r="S395" s="1">
        <v>391</v>
      </c>
    </row>
    <row r="396" spans="17:19" ht="13.5">
      <c r="Q396" s="35">
        <f t="shared" si="13"/>
        <v>62.7318362928771</v>
      </c>
      <c r="R396" s="36">
        <f t="shared" si="12"/>
        <v>63</v>
      </c>
      <c r="S396" s="1">
        <v>392</v>
      </c>
    </row>
    <row r="397" spans="17:19" ht="13.5">
      <c r="Q397" s="35">
        <f t="shared" si="13"/>
        <v>62.57250595352974</v>
      </c>
      <c r="R397" s="36">
        <f t="shared" si="12"/>
        <v>62</v>
      </c>
      <c r="S397" s="1">
        <v>393</v>
      </c>
    </row>
    <row r="398" spans="17:19" ht="13.5">
      <c r="Q398" s="35">
        <f t="shared" si="13"/>
        <v>62.41402989294551</v>
      </c>
      <c r="R398" s="36">
        <f t="shared" si="12"/>
        <v>62</v>
      </c>
      <c r="S398" s="1">
        <v>394</v>
      </c>
    </row>
    <row r="399" spans="17:19" ht="13.5">
      <c r="Q399" s="35">
        <f t="shared" si="13"/>
        <v>62.25640076889017</v>
      </c>
      <c r="R399" s="36">
        <f t="shared" si="12"/>
        <v>62</v>
      </c>
      <c r="S399" s="1">
        <v>395</v>
      </c>
    </row>
    <row r="400" spans="17:19" ht="13.5">
      <c r="Q400" s="35">
        <f t="shared" si="13"/>
        <v>62.099611329650976</v>
      </c>
      <c r="R400" s="36">
        <f t="shared" si="12"/>
        <v>62</v>
      </c>
      <c r="S400" s="1">
        <v>396</v>
      </c>
    </row>
    <row r="401" spans="17:19" ht="13.5">
      <c r="Q401" s="35">
        <f t="shared" si="13"/>
        <v>61.943654412538066</v>
      </c>
      <c r="R401" s="36">
        <f t="shared" si="12"/>
        <v>62</v>
      </c>
      <c r="S401" s="1">
        <v>397</v>
      </c>
    </row>
    <row r="402" spans="17:19" ht="13.5">
      <c r="Q402" s="35">
        <f t="shared" si="13"/>
        <v>61.78852294241844</v>
      </c>
      <c r="R402" s="36">
        <f t="shared" si="12"/>
        <v>62</v>
      </c>
      <c r="S402" s="1">
        <v>398</v>
      </c>
    </row>
    <row r="403" spans="17:19" ht="13.5">
      <c r="Q403" s="35">
        <f t="shared" si="13"/>
        <v>61.634209930280186</v>
      </c>
      <c r="R403" s="36">
        <f t="shared" si="12"/>
        <v>61</v>
      </c>
      <c r="S403" s="1">
        <v>399</v>
      </c>
    </row>
    <row r="404" spans="17:19" ht="13.5">
      <c r="Q404" s="35">
        <f t="shared" si="13"/>
        <v>61.48070847182687</v>
      </c>
      <c r="R404" s="36">
        <f t="shared" si="12"/>
        <v>61</v>
      </c>
      <c r="S404" s="1">
        <v>400</v>
      </c>
    </row>
    <row r="405" spans="17:19" ht="13.5">
      <c r="Q405" s="35">
        <f t="shared" si="13"/>
        <v>61.32801174610116</v>
      </c>
      <c r="R405" s="36">
        <f t="shared" si="12"/>
        <v>61</v>
      </c>
      <c r="S405" s="1">
        <v>401</v>
      </c>
    </row>
    <row r="406" spans="17:19" ht="13.5">
      <c r="Q406" s="35">
        <f t="shared" si="13"/>
        <v>61.176113014137144</v>
      </c>
      <c r="R406" s="36">
        <f t="shared" si="12"/>
        <v>61</v>
      </c>
      <c r="S406" s="1">
        <v>402</v>
      </c>
    </row>
    <row r="407" spans="17:19" ht="13.5">
      <c r="Q407" s="35">
        <f t="shared" si="13"/>
        <v>61.025005617640225</v>
      </c>
      <c r="R407" s="36">
        <f t="shared" si="12"/>
        <v>61</v>
      </c>
      <c r="S407" s="1">
        <v>403</v>
      </c>
    </row>
    <row r="408" spans="17:19" ht="13.5">
      <c r="Q408" s="35">
        <f t="shared" si="13"/>
        <v>60.8746829776943</v>
      </c>
      <c r="R408" s="36">
        <f t="shared" si="12"/>
        <v>61</v>
      </c>
      <c r="S408" s="1">
        <v>404</v>
      </c>
    </row>
    <row r="409" spans="17:19" ht="13.5">
      <c r="Q409" s="35">
        <f t="shared" si="13"/>
        <v>60.72513859349524</v>
      </c>
      <c r="R409" s="36">
        <f t="shared" si="12"/>
        <v>61</v>
      </c>
      <c r="S409" s="1">
        <v>405</v>
      </c>
    </row>
    <row r="410" spans="17:19" ht="13.5">
      <c r="Q410" s="35">
        <f t="shared" si="13"/>
        <v>60.57636604111006</v>
      </c>
      <c r="R410" s="36">
        <f t="shared" si="12"/>
        <v>60</v>
      </c>
      <c r="S410" s="1">
        <v>406</v>
      </c>
    </row>
    <row r="411" spans="17:19" ht="13.5">
      <c r="Q411" s="35">
        <f t="shared" si="13"/>
        <v>60.428358972261535</v>
      </c>
      <c r="R411" s="36">
        <f t="shared" si="12"/>
        <v>60</v>
      </c>
      <c r="S411" s="1">
        <v>407</v>
      </c>
    </row>
    <row r="412" spans="17:19" ht="13.5">
      <c r="Q412" s="35">
        <f t="shared" si="13"/>
        <v>60.281111113136824</v>
      </c>
      <c r="R412" s="36">
        <f t="shared" si="12"/>
        <v>60</v>
      </c>
      <c r="S412" s="1">
        <v>408</v>
      </c>
    </row>
    <row r="413" spans="17:19" ht="13.5">
      <c r="Q413" s="35">
        <f t="shared" si="13"/>
        <v>60.134616263220444</v>
      </c>
      <c r="R413" s="36">
        <f t="shared" si="12"/>
        <v>60</v>
      </c>
      <c r="S413" s="1">
        <v>409</v>
      </c>
    </row>
    <row r="414" spans="17:19" ht="13.5">
      <c r="Q414" s="35">
        <f t="shared" si="13"/>
        <v>59.98886829415015</v>
      </c>
      <c r="R414" s="36">
        <f t="shared" si="12"/>
        <v>60</v>
      </c>
      <c r="S414" s="1">
        <v>410</v>
      </c>
    </row>
    <row r="415" spans="17:19" ht="13.5">
      <c r="Q415" s="35">
        <f t="shared" si="13"/>
        <v>59.84386114859573</v>
      </c>
      <c r="R415" s="36">
        <f t="shared" si="12"/>
        <v>60</v>
      </c>
      <c r="S415" s="1">
        <v>411</v>
      </c>
    </row>
    <row r="416" spans="17:19" ht="13.5">
      <c r="Q416" s="35">
        <f t="shared" si="13"/>
        <v>59.69958883916023</v>
      </c>
      <c r="R416" s="36">
        <f t="shared" si="12"/>
        <v>60</v>
      </c>
      <c r="S416" s="1">
        <v>412</v>
      </c>
    </row>
    <row r="417" spans="17:19" ht="13.5">
      <c r="Q417" s="35">
        <f t="shared" si="13"/>
        <v>59.55604544730224</v>
      </c>
      <c r="R417" s="36">
        <f t="shared" si="12"/>
        <v>59</v>
      </c>
      <c r="S417" s="1">
        <v>413</v>
      </c>
    </row>
    <row r="418" spans="17:19" ht="13.5">
      <c r="Q418" s="35">
        <f t="shared" si="13"/>
        <v>59.41322512227981</v>
      </c>
      <c r="R418" s="36">
        <f t="shared" si="12"/>
        <v>59</v>
      </c>
      <c r="S418" s="1">
        <v>414</v>
      </c>
    </row>
    <row r="419" spans="17:19" ht="13.5">
      <c r="Q419" s="35">
        <f t="shared" si="13"/>
        <v>59.271122080114644</v>
      </c>
      <c r="R419" s="36">
        <f aca="true" t="shared" si="14" ref="R419:R482">IF(Q420="","",IF(Q420="180°以上","180",ROUND(Q420,0)))</f>
        <v>59</v>
      </c>
      <c r="S419" s="1">
        <v>415</v>
      </c>
    </row>
    <row r="420" spans="17:19" ht="13.5">
      <c r="Q420" s="35">
        <f aca="true" t="shared" si="15" ref="Q420:Q483">IF(OR($H$45="",$H$40="",$H$41="",$H$63="",$H$61="",$H$44=""),"",IF($F$47="上記Ｒの値では取付できません","取付不可",IF(((($H$41+S418)^2+($H$40+$H$44)^2)^0.5+(((S418)^2+($H$40+$H$61)^2)^0.5))&lt;($H$63+$H$45),"180°以上",(ACOS((((($H$41+S418)^2+($H$40+$H$44)^2)^0.5)^2+(((S418)^2+($H$40+$H$61)^2)^0.5)^2-($H$63+$H$45)^2)/(2*((($H$41+S418)^2+($H$40+$H$44)^2)^0.5)*(((S418)^2+($H$40+$H$61)^2)^0.5)))-(ACOS(S418/(((S418)^2+($H$40+$H$61)^2)^0.5)))+(ACOS(($H$41+S418)/((($H$41+S418)^2+($H$40+$H$44)^2)^0.5))))*180/PI())))</f>
        <v>59.129730602576885</v>
      </c>
      <c r="R420" s="36">
        <f t="shared" si="14"/>
        <v>59</v>
      </c>
      <c r="S420" s="1">
        <v>416</v>
      </c>
    </row>
    <row r="421" spans="17:19" ht="13.5">
      <c r="Q421" s="35">
        <f t="shared" si="15"/>
        <v>58.989045036188706</v>
      </c>
      <c r="R421" s="36">
        <f t="shared" si="14"/>
        <v>59</v>
      </c>
      <c r="S421" s="1">
        <v>417</v>
      </c>
    </row>
    <row r="422" spans="17:19" ht="13.5">
      <c r="Q422" s="35">
        <f t="shared" si="15"/>
        <v>58.849059791248024</v>
      </c>
      <c r="R422" s="36">
        <f t="shared" si="14"/>
        <v>59</v>
      </c>
      <c r="S422" s="1">
        <v>418</v>
      </c>
    </row>
    <row r="423" spans="17:19" ht="13.5">
      <c r="Q423" s="35">
        <f t="shared" si="15"/>
        <v>58.7097693408704</v>
      </c>
      <c r="R423" s="36">
        <f t="shared" si="14"/>
        <v>59</v>
      </c>
      <c r="S423" s="1">
        <v>419</v>
      </c>
    </row>
    <row r="424" spans="17:19" ht="13.5">
      <c r="Q424" s="35">
        <f t="shared" si="15"/>
        <v>58.57116822004922</v>
      </c>
      <c r="R424" s="36">
        <f t="shared" si="14"/>
        <v>58</v>
      </c>
      <c r="S424" s="1">
        <v>420</v>
      </c>
    </row>
    <row r="425" spans="17:19" ht="13.5">
      <c r="Q425" s="35">
        <f t="shared" si="15"/>
        <v>58.43325102473383</v>
      </c>
      <c r="R425" s="36">
        <f t="shared" si="14"/>
        <v>58</v>
      </c>
      <c r="S425" s="1">
        <v>421</v>
      </c>
    </row>
    <row r="426" spans="17:19" ht="13.5">
      <c r="Q426" s="35">
        <f t="shared" si="15"/>
        <v>58.29601241092541</v>
      </c>
      <c r="R426" s="36">
        <f t="shared" si="14"/>
        <v>58</v>
      </c>
      <c r="S426" s="1">
        <v>422</v>
      </c>
    </row>
    <row r="427" spans="17:19" ht="13.5">
      <c r="Q427" s="35">
        <f t="shared" si="15"/>
        <v>58.15944709378928</v>
      </c>
      <c r="R427" s="36">
        <f t="shared" si="14"/>
        <v>58</v>
      </c>
      <c r="S427" s="1">
        <v>423</v>
      </c>
    </row>
    <row r="428" spans="17:19" ht="13.5">
      <c r="Q428" s="35">
        <f t="shared" si="15"/>
        <v>58.02354984678428</v>
      </c>
      <c r="R428" s="36">
        <f t="shared" si="14"/>
        <v>58</v>
      </c>
      <c r="S428" s="1">
        <v>424</v>
      </c>
    </row>
    <row r="429" spans="17:19" ht="13.5">
      <c r="Q429" s="35">
        <f t="shared" si="15"/>
        <v>57.88831550080847</v>
      </c>
      <c r="R429" s="36">
        <f t="shared" si="14"/>
        <v>58</v>
      </c>
      <c r="S429" s="1">
        <v>425</v>
      </c>
    </row>
    <row r="430" spans="17:19" ht="13.5">
      <c r="Q430" s="35">
        <f t="shared" si="15"/>
        <v>57.75373894336041</v>
      </c>
      <c r="R430" s="36">
        <f t="shared" si="14"/>
        <v>58</v>
      </c>
      <c r="S430" s="1">
        <v>426</v>
      </c>
    </row>
    <row r="431" spans="17:19" ht="13.5">
      <c r="Q431" s="35">
        <f t="shared" si="15"/>
        <v>57.61981511771612</v>
      </c>
      <c r="R431" s="36">
        <f t="shared" si="14"/>
        <v>57</v>
      </c>
      <c r="S431" s="1">
        <v>427</v>
      </c>
    </row>
    <row r="432" spans="17:19" ht="13.5">
      <c r="Q432" s="35">
        <f t="shared" si="15"/>
        <v>57.48653902212136</v>
      </c>
      <c r="R432" s="36">
        <f t="shared" si="14"/>
        <v>57</v>
      </c>
      <c r="S432" s="1">
        <v>428</v>
      </c>
    </row>
    <row r="433" spans="17:19" ht="13.5">
      <c r="Q433" s="35">
        <f t="shared" si="15"/>
        <v>57.35390570899859</v>
      </c>
      <c r="R433" s="36">
        <f t="shared" si="14"/>
        <v>57</v>
      </c>
      <c r="S433" s="1">
        <v>429</v>
      </c>
    </row>
    <row r="434" spans="17:19" ht="13.5">
      <c r="Q434" s="35">
        <f t="shared" si="15"/>
        <v>57.22191028416835</v>
      </c>
      <c r="R434" s="36">
        <f t="shared" si="14"/>
        <v>57</v>
      </c>
      <c r="S434" s="1">
        <v>430</v>
      </c>
    </row>
    <row r="435" spans="17:19" ht="13.5">
      <c r="Q435" s="35">
        <f t="shared" si="15"/>
        <v>57.09054790608513</v>
      </c>
      <c r="R435" s="36">
        <f t="shared" si="14"/>
        <v>57</v>
      </c>
      <c r="S435" s="1">
        <v>431</v>
      </c>
    </row>
    <row r="436" spans="17:19" ht="13.5">
      <c r="Q436" s="35">
        <f t="shared" si="15"/>
        <v>56.95981378508677</v>
      </c>
      <c r="R436" s="36">
        <f t="shared" si="14"/>
        <v>57</v>
      </c>
      <c r="S436" s="1">
        <v>432</v>
      </c>
    </row>
    <row r="437" spans="17:19" ht="13.5">
      <c r="Q437" s="35">
        <f t="shared" si="15"/>
        <v>56.82970318265766</v>
      </c>
      <c r="R437" s="36">
        <f t="shared" si="14"/>
        <v>57</v>
      </c>
      <c r="S437" s="1">
        <v>433</v>
      </c>
    </row>
    <row r="438" spans="17:19" ht="13.5">
      <c r="Q438" s="35">
        <f t="shared" si="15"/>
        <v>56.70021141070503</v>
      </c>
      <c r="R438" s="36">
        <f t="shared" si="14"/>
        <v>57</v>
      </c>
      <c r="S438" s="1">
        <v>434</v>
      </c>
    </row>
    <row r="439" spans="17:19" ht="13.5">
      <c r="Q439" s="35">
        <f t="shared" si="15"/>
        <v>56.571333830848324</v>
      </c>
      <c r="R439" s="36">
        <f t="shared" si="14"/>
        <v>56</v>
      </c>
      <c r="S439" s="1">
        <v>435</v>
      </c>
    </row>
    <row r="440" spans="17:19" ht="13.5">
      <c r="Q440" s="35">
        <f t="shared" si="15"/>
        <v>56.4430658537212</v>
      </c>
      <c r="R440" s="36">
        <f t="shared" si="14"/>
        <v>56</v>
      </c>
      <c r="S440" s="1">
        <v>436</v>
      </c>
    </row>
    <row r="441" spans="17:19" ht="13.5">
      <c r="Q441" s="35">
        <f t="shared" si="15"/>
        <v>56.31540293828599</v>
      </c>
      <c r="R441" s="36">
        <f t="shared" si="14"/>
        <v>56</v>
      </c>
      <c r="S441" s="1">
        <v>437</v>
      </c>
    </row>
    <row r="442" spans="17:19" ht="13.5">
      <c r="Q442" s="35">
        <f t="shared" si="15"/>
        <v>56.1883405911602</v>
      </c>
      <c r="R442" s="36">
        <f t="shared" si="14"/>
        <v>56</v>
      </c>
      <c r="S442" s="1">
        <v>438</v>
      </c>
    </row>
    <row r="443" spans="17:19" ht="13.5">
      <c r="Q443" s="35">
        <f t="shared" si="15"/>
        <v>56.06187436595504</v>
      </c>
      <c r="R443" s="36">
        <f t="shared" si="14"/>
        <v>56</v>
      </c>
      <c r="S443" s="1">
        <v>439</v>
      </c>
    </row>
    <row r="444" spans="17:19" ht="13.5">
      <c r="Q444" s="35">
        <f t="shared" si="15"/>
        <v>55.93599986262536</v>
      </c>
      <c r="R444" s="36">
        <f t="shared" si="14"/>
        <v>56</v>
      </c>
      <c r="S444" s="1">
        <v>440</v>
      </c>
    </row>
    <row r="445" spans="17:19" ht="13.5">
      <c r="Q445" s="35">
        <f t="shared" si="15"/>
        <v>55.81071272683117</v>
      </c>
      <c r="R445" s="36">
        <f t="shared" si="14"/>
        <v>56</v>
      </c>
      <c r="S445" s="1">
        <v>441</v>
      </c>
    </row>
    <row r="446" spans="17:19" ht="13.5">
      <c r="Q446" s="35">
        <f t="shared" si="15"/>
        <v>55.6860086493101</v>
      </c>
      <c r="R446" s="36">
        <f t="shared" si="14"/>
        <v>56</v>
      </c>
      <c r="S446" s="1">
        <v>442</v>
      </c>
    </row>
    <row r="447" spans="17:19" ht="13.5">
      <c r="Q447" s="35">
        <f t="shared" si="15"/>
        <v>55.561883365261096</v>
      </c>
      <c r="R447" s="36">
        <f t="shared" si="14"/>
        <v>55</v>
      </c>
      <c r="S447" s="1">
        <v>443</v>
      </c>
    </row>
    <row r="448" spans="17:19" ht="13.5">
      <c r="Q448" s="35">
        <f t="shared" si="15"/>
        <v>55.43833265373817</v>
      </c>
      <c r="R448" s="36">
        <f t="shared" si="14"/>
        <v>55</v>
      </c>
      <c r="S448" s="1">
        <v>444</v>
      </c>
    </row>
    <row r="449" spans="17:19" ht="13.5">
      <c r="Q449" s="35">
        <f t="shared" si="15"/>
        <v>55.315352337055096</v>
      </c>
      <c r="R449" s="36">
        <f t="shared" si="14"/>
        <v>55</v>
      </c>
      <c r="S449" s="1">
        <v>445</v>
      </c>
    </row>
    <row r="450" spans="17:19" ht="13.5">
      <c r="Q450" s="35">
        <f t="shared" si="15"/>
        <v>55.19293828020033</v>
      </c>
      <c r="R450" s="36">
        <f t="shared" si="14"/>
        <v>55</v>
      </c>
      <c r="S450" s="1">
        <v>446</v>
      </c>
    </row>
    <row r="451" spans="17:19" ht="13.5">
      <c r="Q451" s="35">
        <f t="shared" si="15"/>
        <v>55.07108639026153</v>
      </c>
      <c r="R451" s="36">
        <f t="shared" si="14"/>
        <v>55</v>
      </c>
      <c r="S451" s="1">
        <v>447</v>
      </c>
    </row>
    <row r="452" spans="17:19" ht="13.5">
      <c r="Q452" s="35">
        <f t="shared" si="15"/>
        <v>54.94979261586034</v>
      </c>
      <c r="R452" s="36">
        <f t="shared" si="14"/>
        <v>55</v>
      </c>
      <c r="S452" s="1">
        <v>448</v>
      </c>
    </row>
    <row r="453" spans="17:19" ht="13.5">
      <c r="Q453" s="35">
        <f t="shared" si="15"/>
        <v>54.8290529465961</v>
      </c>
      <c r="R453" s="36">
        <f t="shared" si="14"/>
        <v>55</v>
      </c>
      <c r="S453" s="1">
        <v>449</v>
      </c>
    </row>
    <row r="454" spans="17:19" ht="13.5">
      <c r="Q454" s="35">
        <f t="shared" si="15"/>
        <v>54.70886341250008</v>
      </c>
      <c r="R454" s="36">
        <f t="shared" si="14"/>
        <v>55</v>
      </c>
      <c r="S454" s="1">
        <v>450</v>
      </c>
    </row>
    <row r="455" spans="17:19" ht="13.5">
      <c r="Q455" s="35">
        <f t="shared" si="15"/>
        <v>54.5892200834976</v>
      </c>
      <c r="R455" s="36">
        <f t="shared" si="14"/>
        <v>54</v>
      </c>
      <c r="S455" s="1">
        <v>451</v>
      </c>
    </row>
    <row r="456" spans="17:19" ht="13.5">
      <c r="Q456" s="35">
        <f t="shared" si="15"/>
        <v>54.470119068879946</v>
      </c>
      <c r="R456" s="36">
        <f t="shared" si="14"/>
        <v>54</v>
      </c>
      <c r="S456" s="1">
        <v>452</v>
      </c>
    </row>
    <row r="457" spans="17:19" ht="13.5">
      <c r="Q457" s="35">
        <f t="shared" si="15"/>
        <v>54.351556516785166</v>
      </c>
      <c r="R457" s="36">
        <f t="shared" si="14"/>
        <v>54</v>
      </c>
      <c r="S457" s="1">
        <v>453</v>
      </c>
    </row>
    <row r="458" spans="17:19" ht="13.5">
      <c r="Q458" s="35">
        <f t="shared" si="15"/>
        <v>54.233528613687035</v>
      </c>
      <c r="R458" s="36">
        <f t="shared" si="14"/>
        <v>54</v>
      </c>
      <c r="S458" s="1">
        <v>454</v>
      </c>
    </row>
    <row r="459" spans="17:19" ht="13.5">
      <c r="Q459" s="35">
        <f t="shared" si="15"/>
        <v>54.116031583892855</v>
      </c>
      <c r="R459" s="36">
        <f t="shared" si="14"/>
        <v>54</v>
      </c>
      <c r="S459" s="1">
        <v>455</v>
      </c>
    </row>
    <row r="460" spans="17:19" ht="13.5">
      <c r="Q460" s="35">
        <f t="shared" si="15"/>
        <v>53.99906168904931</v>
      </c>
      <c r="R460" s="36">
        <f t="shared" si="14"/>
        <v>54</v>
      </c>
      <c r="S460" s="1">
        <v>456</v>
      </c>
    </row>
    <row r="461" spans="17:19" ht="13.5">
      <c r="Q461" s="35">
        <f t="shared" si="15"/>
        <v>53.88261522765682</v>
      </c>
      <c r="R461" s="36">
        <f t="shared" si="14"/>
        <v>54</v>
      </c>
      <c r="S461" s="1">
        <v>457</v>
      </c>
    </row>
    <row r="462" spans="17:19" ht="13.5">
      <c r="Q462" s="35">
        <f t="shared" si="15"/>
        <v>53.766688534591474</v>
      </c>
      <c r="R462" s="36">
        <f t="shared" si="14"/>
        <v>54</v>
      </c>
      <c r="S462" s="1">
        <v>458</v>
      </c>
    </row>
    <row r="463" spans="17:19" ht="13.5">
      <c r="Q463" s="35">
        <f t="shared" si="15"/>
        <v>53.651277980634816</v>
      </c>
      <c r="R463" s="36">
        <f t="shared" si="14"/>
        <v>54</v>
      </c>
      <c r="S463" s="1">
        <v>459</v>
      </c>
    </row>
    <row r="464" spans="17:19" ht="13.5">
      <c r="Q464" s="35">
        <f t="shared" si="15"/>
        <v>53.5363799720118</v>
      </c>
      <c r="R464" s="36">
        <f t="shared" si="14"/>
        <v>53</v>
      </c>
      <c r="S464" s="1">
        <v>460</v>
      </c>
    </row>
    <row r="465" spans="17:19" ht="13.5">
      <c r="Q465" s="35">
        <f t="shared" si="15"/>
        <v>53.421990949935086</v>
      </c>
      <c r="R465" s="36">
        <f t="shared" si="14"/>
        <v>53</v>
      </c>
      <c r="S465" s="1">
        <v>461</v>
      </c>
    </row>
    <row r="466" spans="17:19" ht="13.5">
      <c r="Q466" s="35">
        <f t="shared" si="15"/>
        <v>53.30810739015857</v>
      </c>
      <c r="R466" s="36">
        <f t="shared" si="14"/>
        <v>53</v>
      </c>
      <c r="S466" s="1">
        <v>462</v>
      </c>
    </row>
    <row r="467" spans="17:19" ht="13.5">
      <c r="Q467" s="35">
        <f t="shared" si="15"/>
        <v>53.19472580253596</v>
      </c>
      <c r="R467" s="36">
        <f t="shared" si="14"/>
        <v>53</v>
      </c>
      <c r="S467" s="1">
        <v>463</v>
      </c>
    </row>
    <row r="468" spans="17:19" ht="13.5">
      <c r="Q468" s="35">
        <f t="shared" si="15"/>
        <v>53.08184273058784</v>
      </c>
      <c r="R468" s="36">
        <f t="shared" si="14"/>
        <v>53</v>
      </c>
      <c r="S468" s="1">
        <v>464</v>
      </c>
    </row>
    <row r="469" spans="17:19" ht="13.5">
      <c r="Q469" s="35">
        <f t="shared" si="15"/>
        <v>52.96945475107551</v>
      </c>
      <c r="R469" s="36">
        <f t="shared" si="14"/>
        <v>53</v>
      </c>
      <c r="S469" s="1">
        <v>465</v>
      </c>
    </row>
    <row r="470" spans="17:19" ht="13.5">
      <c r="Q470" s="35">
        <f t="shared" si="15"/>
        <v>52.8575584735812</v>
      </c>
      <c r="R470" s="36">
        <f t="shared" si="14"/>
        <v>53</v>
      </c>
      <c r="S470" s="1">
        <v>466</v>
      </c>
    </row>
    <row r="471" spans="17:19" ht="13.5">
      <c r="Q471" s="35">
        <f t="shared" si="15"/>
        <v>52.74615054009501</v>
      </c>
      <c r="R471" s="36">
        <f t="shared" si="14"/>
        <v>53</v>
      </c>
      <c r="S471" s="1">
        <v>467</v>
      </c>
    </row>
    <row r="472" spans="17:19" ht="13.5">
      <c r="Q472" s="35">
        <f t="shared" si="15"/>
        <v>52.635227624608724</v>
      </c>
      <c r="R472" s="36">
        <f t="shared" si="14"/>
        <v>53</v>
      </c>
      <c r="S472" s="1">
        <v>468</v>
      </c>
    </row>
    <row r="473" spans="17:19" ht="13.5">
      <c r="Q473" s="35">
        <f t="shared" si="15"/>
        <v>52.524786432715715</v>
      </c>
      <c r="R473" s="36">
        <f t="shared" si="14"/>
        <v>52</v>
      </c>
      <c r="S473" s="1">
        <v>469</v>
      </c>
    </row>
    <row r="474" spans="17:19" ht="13.5">
      <c r="Q474" s="35">
        <f t="shared" si="15"/>
        <v>52.41482370121743</v>
      </c>
      <c r="R474" s="36">
        <f t="shared" si="14"/>
        <v>52</v>
      </c>
      <c r="S474" s="1">
        <v>470</v>
      </c>
    </row>
    <row r="475" spans="17:19" ht="13.5">
      <c r="Q475" s="35">
        <f t="shared" si="15"/>
        <v>52.30533619773559</v>
      </c>
      <c r="R475" s="36">
        <f t="shared" si="14"/>
        <v>52</v>
      </c>
      <c r="S475" s="1">
        <v>471</v>
      </c>
    </row>
    <row r="476" spans="17:19" ht="13.5">
      <c r="Q476" s="35">
        <f t="shared" si="15"/>
        <v>52.196320720330895</v>
      </c>
      <c r="R476" s="36">
        <f t="shared" si="14"/>
        <v>52</v>
      </c>
      <c r="S476" s="1">
        <v>472</v>
      </c>
    </row>
    <row r="477" spans="17:19" ht="13.5">
      <c r="Q477" s="35">
        <f t="shared" si="15"/>
        <v>52.08777409712745</v>
      </c>
      <c r="R477" s="36">
        <f t="shared" si="14"/>
        <v>52</v>
      </c>
      <c r="S477" s="1">
        <v>473</v>
      </c>
    </row>
    <row r="478" spans="17:19" ht="13.5">
      <c r="Q478" s="35">
        <f t="shared" si="15"/>
        <v>51.979693185942914</v>
      </c>
      <c r="R478" s="36">
        <f t="shared" si="14"/>
        <v>52</v>
      </c>
      <c r="S478" s="1">
        <v>474</v>
      </c>
    </row>
    <row r="479" spans="17:19" ht="13.5">
      <c r="Q479" s="35">
        <f t="shared" si="15"/>
        <v>51.872074873924525</v>
      </c>
      <c r="R479" s="36">
        <f t="shared" si="14"/>
        <v>52</v>
      </c>
      <c r="S479" s="1">
        <v>475</v>
      </c>
    </row>
    <row r="480" spans="17:19" ht="13.5">
      <c r="Q480" s="35">
        <f t="shared" si="15"/>
        <v>51.76491607719106</v>
      </c>
      <c r="R480" s="36">
        <f t="shared" si="14"/>
        <v>52</v>
      </c>
      <c r="S480" s="1">
        <v>476</v>
      </c>
    </row>
    <row r="481" spans="17:19" ht="13.5">
      <c r="Q481" s="35">
        <f t="shared" si="15"/>
        <v>51.65821374047919</v>
      </c>
      <c r="R481" s="36">
        <f t="shared" si="14"/>
        <v>52</v>
      </c>
      <c r="S481" s="1">
        <v>477</v>
      </c>
    </row>
    <row r="482" spans="17:19" ht="13.5">
      <c r="Q482" s="35">
        <f t="shared" si="15"/>
        <v>51.55196483679668</v>
      </c>
      <c r="R482" s="36">
        <f t="shared" si="14"/>
        <v>51</v>
      </c>
      <c r="S482" s="1">
        <v>478</v>
      </c>
    </row>
    <row r="483" spans="17:19" ht="13.5">
      <c r="Q483" s="35">
        <f t="shared" si="15"/>
        <v>51.44616636707973</v>
      </c>
      <c r="R483" s="36">
        <f aca="true" t="shared" si="16" ref="R483:R505">IF(Q484="","",IF(Q484="180°以上","180",ROUND(Q484,0)))</f>
        <v>51</v>
      </c>
      <c r="S483" s="1">
        <v>479</v>
      </c>
    </row>
    <row r="484" spans="17:19" ht="13.5">
      <c r="Q484" s="35">
        <f aca="true" t="shared" si="17" ref="Q484:Q506">IF(OR($H$45="",$H$40="",$H$41="",$H$63="",$H$61="",$H$44=""),"",IF($F$47="上記Ｒの値では取付できません","取付不可",IF(((($H$41+S482)^2+($H$40+$H$44)^2)^0.5+(((S482)^2+($H$40+$H$61)^2)^0.5))&lt;($H$63+$H$45),"180°以上",(ACOS((((($H$41+S482)^2+($H$40+$H$44)^2)^0.5)^2+(((S482)^2+($H$40+$H$61)^2)^0.5)^2-($H$63+$H$45)^2)/(2*((($H$41+S482)^2+($H$40+$H$44)^2)^0.5)*(((S482)^2+($H$40+$H$61)^2)^0.5)))-(ACOS(S482/(((S482)^2+($H$40+$H$61)^2)^0.5)))+(ACOS(($H$41+S482)/((($H$41+S482)^2+($H$40+$H$44)^2)^0.5))))*180/PI())))</f>
        <v>51.340815359856016</v>
      </c>
      <c r="R484" s="36">
        <f t="shared" si="16"/>
        <v>51</v>
      </c>
      <c r="S484" s="1">
        <v>480</v>
      </c>
    </row>
    <row r="485" spans="17:19" ht="13.5">
      <c r="Q485" s="35">
        <f t="shared" si="17"/>
        <v>51.235908870912894</v>
      </c>
      <c r="R485" s="36">
        <f t="shared" si="16"/>
        <v>51</v>
      </c>
      <c r="S485" s="1">
        <v>481</v>
      </c>
    </row>
    <row r="486" spans="17:19" ht="13.5">
      <c r="Q486" s="35">
        <f t="shared" si="17"/>
        <v>51.1314439829705</v>
      </c>
      <c r="R486" s="36">
        <f t="shared" si="16"/>
        <v>51</v>
      </c>
      <c r="S486" s="1">
        <v>482</v>
      </c>
    </row>
    <row r="487" spans="17:19" ht="13.5">
      <c r="Q487" s="35">
        <f t="shared" si="17"/>
        <v>51.027417805359654</v>
      </c>
      <c r="R487" s="36">
        <f t="shared" si="16"/>
        <v>51</v>
      </c>
      <c r="S487" s="1">
        <v>483</v>
      </c>
    </row>
    <row r="488" spans="17:19" ht="13.5">
      <c r="Q488" s="35">
        <f t="shared" si="17"/>
        <v>50.92382747370466</v>
      </c>
      <c r="R488" s="36">
        <f t="shared" si="16"/>
        <v>51</v>
      </c>
      <c r="S488" s="1">
        <v>484</v>
      </c>
    </row>
    <row r="489" spans="17:19" ht="13.5">
      <c r="Q489" s="35">
        <f t="shared" si="17"/>
        <v>50.82067014961087</v>
      </c>
      <c r="R489" s="36">
        <f t="shared" si="16"/>
        <v>51</v>
      </c>
      <c r="S489" s="1">
        <v>485</v>
      </c>
    </row>
    <row r="490" spans="17:19" ht="13.5">
      <c r="Q490" s="35">
        <f t="shared" si="17"/>
        <v>50.717943020357254</v>
      </c>
      <c r="R490" s="36">
        <f t="shared" si="16"/>
        <v>51</v>
      </c>
      <c r="S490" s="1">
        <v>486</v>
      </c>
    </row>
    <row r="491" spans="17:19" ht="13.5">
      <c r="Q491" s="35">
        <f t="shared" si="17"/>
        <v>50.61564329859255</v>
      </c>
      <c r="R491" s="36">
        <f t="shared" si="16"/>
        <v>51</v>
      </c>
      <c r="S491" s="1">
        <v>487</v>
      </c>
    </row>
    <row r="492" spans="17:19" ht="13.5">
      <c r="Q492" s="35">
        <f t="shared" si="17"/>
        <v>50.51376822203728</v>
      </c>
      <c r="R492" s="36">
        <f t="shared" si="16"/>
        <v>50</v>
      </c>
      <c r="S492" s="1">
        <v>488</v>
      </c>
    </row>
    <row r="493" spans="17:19" ht="13.5">
      <c r="Q493" s="35">
        <f t="shared" si="17"/>
        <v>50.41231505318873</v>
      </c>
      <c r="R493" s="36">
        <f t="shared" si="16"/>
        <v>50</v>
      </c>
      <c r="S493" s="1">
        <v>489</v>
      </c>
    </row>
    <row r="494" spans="17:19" ht="13.5">
      <c r="Q494" s="35">
        <f t="shared" si="17"/>
        <v>50.31128107903149</v>
      </c>
      <c r="R494" s="36">
        <f t="shared" si="16"/>
        <v>50</v>
      </c>
      <c r="S494" s="1">
        <v>490</v>
      </c>
    </row>
    <row r="495" spans="17:19" ht="13.5">
      <c r="Q495" s="35">
        <f t="shared" si="17"/>
        <v>50.21066361075154</v>
      </c>
      <c r="R495" s="36">
        <f t="shared" si="16"/>
        <v>50</v>
      </c>
      <c r="S495" s="1">
        <v>491</v>
      </c>
    </row>
    <row r="496" spans="17:19" ht="13.5">
      <c r="Q496" s="35">
        <f t="shared" si="17"/>
        <v>50.11045998345451</v>
      </c>
      <c r="R496" s="36">
        <f t="shared" si="16"/>
        <v>50</v>
      </c>
      <c r="S496" s="1">
        <v>492</v>
      </c>
    </row>
    <row r="497" spans="17:19" ht="13.5">
      <c r="Q497" s="35">
        <f t="shared" si="17"/>
        <v>50.01066755588852</v>
      </c>
      <c r="R497" s="36">
        <f t="shared" si="16"/>
        <v>50</v>
      </c>
      <c r="S497" s="1">
        <v>493</v>
      </c>
    </row>
    <row r="498" spans="17:19" ht="13.5">
      <c r="Q498" s="35">
        <f t="shared" si="17"/>
        <v>49.91128371017049</v>
      </c>
      <c r="R498" s="36">
        <f t="shared" si="16"/>
        <v>50</v>
      </c>
      <c r="S498" s="1">
        <v>494</v>
      </c>
    </row>
    <row r="499" spans="17:19" ht="13.5">
      <c r="Q499" s="35">
        <f t="shared" si="17"/>
        <v>49.81230585151683</v>
      </c>
      <c r="R499" s="36">
        <f t="shared" si="16"/>
        <v>50</v>
      </c>
      <c r="S499" s="1">
        <v>495</v>
      </c>
    </row>
    <row r="500" spans="17:19" ht="13.5">
      <c r="Q500" s="35">
        <f t="shared" si="17"/>
        <v>49.713731407977946</v>
      </c>
      <c r="R500" s="36">
        <f t="shared" si="16"/>
        <v>50</v>
      </c>
      <c r="S500" s="1">
        <v>496</v>
      </c>
    </row>
    <row r="501" spans="17:19" ht="13.5">
      <c r="Q501" s="35">
        <f t="shared" si="17"/>
        <v>49.61555783017592</v>
      </c>
      <c r="R501" s="36">
        <f t="shared" si="16"/>
        <v>50</v>
      </c>
      <c r="S501" s="1">
        <v>497</v>
      </c>
    </row>
    <row r="502" spans="17:19" ht="13.5">
      <c r="Q502" s="35">
        <f t="shared" si="17"/>
        <v>49.51778259104722</v>
      </c>
      <c r="R502" s="36">
        <f t="shared" si="16"/>
        <v>49</v>
      </c>
      <c r="S502" s="1">
        <v>498</v>
      </c>
    </row>
    <row r="503" spans="17:19" ht="13.5">
      <c r="Q503" s="35">
        <f t="shared" si="17"/>
        <v>49.42040318558803</v>
      </c>
      <c r="R503" s="36">
        <f t="shared" si="16"/>
        <v>49</v>
      </c>
      <c r="S503" s="1">
        <v>499</v>
      </c>
    </row>
    <row r="504" spans="17:19" ht="13.5">
      <c r="Q504" s="35">
        <f t="shared" si="17"/>
        <v>49.323417130603254</v>
      </c>
      <c r="R504" s="36">
        <f t="shared" si="16"/>
        <v>49</v>
      </c>
      <c r="S504" s="1">
        <v>500</v>
      </c>
    </row>
    <row r="505" spans="17:18" ht="13.5">
      <c r="Q505" s="35">
        <f t="shared" si="17"/>
        <v>49.22682196446005</v>
      </c>
      <c r="R505" s="36">
        <f t="shared" si="16"/>
        <v>49</v>
      </c>
    </row>
    <row r="506" ht="13.5">
      <c r="Q506" s="35">
        <f t="shared" si="17"/>
        <v>49.13061524684352</v>
      </c>
    </row>
  </sheetData>
  <sheetProtection password="82E0" sheet="1" objects="1" selectLockedCells="1"/>
  <mergeCells count="58">
    <mergeCell ref="B5:C5"/>
    <mergeCell ref="I40:N40"/>
    <mergeCell ref="I41:N41"/>
    <mergeCell ref="J3:K3"/>
    <mergeCell ref="J22:L22"/>
    <mergeCell ref="B2:C2"/>
    <mergeCell ref="J26:L26"/>
    <mergeCell ref="E29:L29"/>
    <mergeCell ref="B9:C9"/>
    <mergeCell ref="I32:N32"/>
    <mergeCell ref="B3:C3"/>
    <mergeCell ref="B11:D11"/>
    <mergeCell ref="F2:G2"/>
    <mergeCell ref="H2:K2"/>
    <mergeCell ref="E3:G3"/>
    <mergeCell ref="H3:I3"/>
    <mergeCell ref="F45:G45"/>
    <mergeCell ref="I45:N45"/>
    <mergeCell ref="F34:G34"/>
    <mergeCell ref="F40:G40"/>
    <mergeCell ref="F41:G41"/>
    <mergeCell ref="I57:N57"/>
    <mergeCell ref="F43:G43"/>
    <mergeCell ref="I48:N48"/>
    <mergeCell ref="B7:C7"/>
    <mergeCell ref="I43:N43"/>
    <mergeCell ref="F44:G44"/>
    <mergeCell ref="I44:N44"/>
    <mergeCell ref="F42:G42"/>
    <mergeCell ref="I42:N42"/>
    <mergeCell ref="F46:G46"/>
    <mergeCell ref="I46:N46"/>
    <mergeCell ref="F47:H47"/>
    <mergeCell ref="F49:H49"/>
    <mergeCell ref="I49:N49"/>
    <mergeCell ref="F50:G50"/>
    <mergeCell ref="F54:G54"/>
    <mergeCell ref="I54:N54"/>
    <mergeCell ref="K47:M47"/>
    <mergeCell ref="B6:C6"/>
    <mergeCell ref="F59:G59"/>
    <mergeCell ref="I59:N59"/>
    <mergeCell ref="F60:G60"/>
    <mergeCell ref="I60:N60"/>
    <mergeCell ref="F55:G55"/>
    <mergeCell ref="I55:N55"/>
    <mergeCell ref="F56:G56"/>
    <mergeCell ref="I56:N56"/>
    <mergeCell ref="F57:G57"/>
    <mergeCell ref="F58:G58"/>
    <mergeCell ref="F62:G62"/>
    <mergeCell ref="I62:N62"/>
    <mergeCell ref="F63:G63"/>
    <mergeCell ref="I63:N63"/>
    <mergeCell ref="F64:G64"/>
    <mergeCell ref="F61:G61"/>
    <mergeCell ref="I61:N61"/>
    <mergeCell ref="I58:N58"/>
  </mergeCells>
  <dataValidations count="2">
    <dataValidation type="list" allowBlank="1" showInputMessage="1" showErrorMessage="1" sqref="H34">
      <formula1>$V$4:$V$5</formula1>
    </dataValidation>
    <dataValidation type="list" allowBlank="1" showInputMessage="1" showErrorMessage="1" sqref="D2">
      <formula1>$V$2:$V$2</formula1>
    </dataValidation>
  </dataValidations>
  <printOptions/>
  <pageMargins left="0.42" right="0.23" top="0.53" bottom="0.27" header="0.5" footer="0.2"/>
  <pageSetup fitToHeight="1" fitToWidth="1" horizontalDpi="300" verticalDpi="3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2019-12-27T08:58:14Z</cp:lastPrinted>
  <dcterms:created xsi:type="dcterms:W3CDTF">1998-07-02T05:07:30Z</dcterms:created>
  <dcterms:modified xsi:type="dcterms:W3CDTF">2022-12-20T04:27:45Z</dcterms:modified>
  <cp:category/>
  <cp:version/>
  <cp:contentType/>
  <cp:contentStatus/>
</cp:coreProperties>
</file>